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comments15.xml" ContentType="application/vnd.openxmlformats-officedocument.spreadsheetml.comments+xml"/>
  <Override PartName="/xl/drawings/drawing21.xml" ContentType="application/vnd.openxmlformats-officedocument.drawing+xml"/>
  <Override PartName="/xl/comments16.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8.xml" ContentType="application/vnd.openxmlformats-officedocument.spreadsheetml.comments+xml"/>
  <Override PartName="/xl/drawings/drawing27.xml" ContentType="application/vnd.openxmlformats-officedocument.drawing+xml"/>
  <Override PartName="/xl/comments19.xml" ContentType="application/vnd.openxmlformats-officedocument.spreadsheetml.comments+xml"/>
  <Override PartName="/xl/drawings/drawing28.xml" ContentType="application/vnd.openxmlformats-officedocument.drawing+xml"/>
  <Override PartName="/xl/comments20.xml" ContentType="application/vnd.openxmlformats-officedocument.spreadsheetml.comments+xml"/>
  <Override PartName="/xl/drawings/drawing29.xml" ContentType="application/vnd.openxmlformats-officedocument.drawing+xml"/>
  <Override PartName="/xl/comments21.xml" ContentType="application/vnd.openxmlformats-officedocument.spreadsheetml.comments+xml"/>
  <Override PartName="/xl/drawings/drawing30.xml" ContentType="application/vnd.openxmlformats-officedocument.drawing+xml"/>
  <Override PartName="/xl/comments22.xml" ContentType="application/vnd.openxmlformats-officedocument.spreadsheetml.comments+xml"/>
  <Override PartName="/xl/drawings/drawing31.xml" ContentType="application/vnd.openxmlformats-officedocument.drawing+xml"/>
  <Override PartName="/xl/comments23.xml" ContentType="application/vnd.openxmlformats-officedocument.spreadsheetml.comments+xml"/>
  <Override PartName="/xl/drawings/drawing32.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25575" windowHeight="12720" tabRatio="820" activeTab="21"/>
  </bookViews>
  <sheets>
    <sheet name="Wireline (RV) " sheetId="1" r:id="rId1"/>
    <sheet name="Wireline (MS)" sheetId="2" r:id="rId2"/>
    <sheet name="Wireless (RV)" sheetId="3" r:id="rId3"/>
    <sheet name="Wireless (MS)" sheetId="4" r:id="rId4"/>
    <sheet name="ISPs (RV)" sheetId="5" r:id="rId5"/>
    <sheet name="ISPs (MS)" sheetId="6" r:id="rId6"/>
    <sheet name="CableSatIPTV (RV)" sheetId="7" r:id="rId7"/>
    <sheet name="CableSatIPTV (MS)" sheetId="8" r:id="rId8"/>
    <sheet name="IPTV" sheetId="9" r:id="rId9"/>
    <sheet name="Broadcast TV (RV)" sheetId="10" r:id="rId10"/>
    <sheet name="Broadcast TV (MS)" sheetId="11" r:id="rId11"/>
    <sheet name="Pay &amp; Specialty (RV)" sheetId="12" r:id="rId12"/>
    <sheet name="Pay &amp; Specialty (MS)" sheetId="13" r:id="rId13"/>
    <sheet name="Total TV Universe (RV)" sheetId="14" r:id="rId14"/>
    <sheet name="Total TV Universe (MS)" sheetId="15" r:id="rId15"/>
    <sheet name="Radio (RV)" sheetId="16" r:id="rId16"/>
    <sheet name="Radio (MS)" sheetId="17" r:id="rId17"/>
    <sheet name="CBC" sheetId="18" r:id="rId18"/>
    <sheet name="Newspaper (RV)" sheetId="19" r:id="rId19"/>
    <sheet name="Newspaper (MS)" sheetId="20" r:id="rId20"/>
    <sheet name="Magazines (RV)" sheetId="21" r:id="rId21"/>
    <sheet name="Magazines (MS)" sheetId="22" r:id="rId22"/>
    <sheet name="Search (MS)" sheetId="23" r:id="rId23"/>
    <sheet name="Internet Other" sheetId="24" r:id="rId24"/>
    <sheet name="Online News (MS)" sheetId="25" r:id="rId25"/>
    <sheet name="Top 20 w Telecoms" sheetId="26" r:id="rId26"/>
    <sheet name="Top 20 no Telecoms" sheetId="27" r:id="rId27"/>
    <sheet name="VI Broadcasting" sheetId="28" r:id="rId28"/>
    <sheet name="Top US Telecom + Mediacos" sheetId="32" r:id="rId29"/>
    <sheet name="MediaEconomy" sheetId="29" r:id="rId30"/>
    <sheet name="CR &amp; HHI" sheetId="30" r:id="rId31"/>
    <sheet name="Data CentresServices" sheetId="31" r:id="rId32"/>
  </sheets>
  <definedNames>
    <definedName name="Z_53A03D0E_38D0_7449_9494_A87029C5A3DD_.wvu.Cols" localSheetId="9">'Broadcast TV (RV)'!$B:$B</definedName>
    <definedName name="Z_53A03D0E_38D0_7449_9494_A87029C5A3DD_.wvu.Rows" localSheetId="13">'Total TV Universe (RV)'!$50:$50</definedName>
    <definedName name="Z_C1CFBDE7_2FAB_EE4D_8BC2_4415671EDD7A_.wvu.Cols" localSheetId="9">'Broadcast TV (RV)'!$B:$B</definedName>
    <definedName name="Z_C1CFBDE7_2FAB_EE4D_8BC2_4415671EDD7A_.wvu.Rows" localSheetId="13">'Total TV Universe (RV)'!$50:$50</definedName>
  </definedNames>
  <calcPr calcId="145621"/>
</workbook>
</file>

<file path=xl/calcChain.xml><?xml version="1.0" encoding="utf-8"?>
<calcChain xmlns="http://schemas.openxmlformats.org/spreadsheetml/2006/main">
  <c r="L3" i="32" l="1"/>
  <c r="N4" i="32"/>
  <c r="I5" i="32"/>
  <c r="N5" i="32"/>
  <c r="N6" i="32"/>
  <c r="N8" i="32"/>
  <c r="N9" i="32"/>
  <c r="C10" i="32"/>
  <c r="N10" i="32"/>
  <c r="F11" i="32"/>
  <c r="I11" i="32"/>
  <c r="N11" i="32"/>
  <c r="F12" i="32"/>
  <c r="F27" i="32" s="1"/>
  <c r="I12" i="32"/>
  <c r="N12" i="32"/>
  <c r="F13" i="32"/>
  <c r="I13" i="32"/>
  <c r="N13" i="32"/>
  <c r="N14" i="32"/>
  <c r="F15" i="32"/>
  <c r="N15" i="32"/>
  <c r="N16" i="32"/>
  <c r="N17" i="32"/>
  <c r="N18" i="32"/>
  <c r="N19" i="32"/>
  <c r="N20" i="32"/>
  <c r="B21" i="32"/>
  <c r="N21" i="32"/>
  <c r="J22" i="32"/>
  <c r="N22" i="32"/>
  <c r="N23" i="32"/>
  <c r="N24" i="32"/>
  <c r="N25" i="32"/>
  <c r="N26" i="32"/>
  <c r="N27" i="32"/>
  <c r="F29" i="32"/>
  <c r="L29" i="32" s="1"/>
  <c r="H39" i="32"/>
  <c r="H40" i="32"/>
  <c r="H41" i="32"/>
  <c r="H44" i="32" s="1"/>
  <c r="H46" i="32" s="1"/>
  <c r="H42" i="32"/>
  <c r="H43" i="32"/>
  <c r="F45" i="32"/>
  <c r="H45" i="32"/>
  <c r="G55" i="32"/>
  <c r="F56" i="32"/>
  <c r="G56" i="32" s="1"/>
  <c r="G57" i="32" s="1"/>
  <c r="Q62" i="32"/>
  <c r="Q63" i="32" s="1"/>
  <c r="F65" i="32"/>
  <c r="E66" i="32"/>
  <c r="F66" i="32" s="1"/>
  <c r="F67" i="32" s="1"/>
  <c r="I73" i="32"/>
  <c r="J73" i="32" s="1"/>
  <c r="I74" i="32"/>
  <c r="I75" i="32"/>
  <c r="J75" i="32"/>
  <c r="K75" i="32" s="1"/>
  <c r="I76" i="32"/>
  <c r="J76" i="32" s="1"/>
  <c r="K76" i="32" s="1"/>
  <c r="I77" i="32"/>
  <c r="J77" i="32" s="1"/>
  <c r="K77" i="32" s="1"/>
  <c r="I78" i="32"/>
  <c r="J78" i="32" s="1"/>
  <c r="K78" i="32" s="1"/>
  <c r="I79" i="32"/>
  <c r="J79" i="32" s="1"/>
  <c r="K79" i="32" s="1"/>
  <c r="I80" i="32"/>
  <c r="I81" i="32"/>
  <c r="J81" i="32" s="1"/>
  <c r="K81" i="32" s="1"/>
  <c r="I82" i="32"/>
  <c r="I83" i="32"/>
  <c r="J83" i="32"/>
  <c r="K83" i="32" s="1"/>
  <c r="I84" i="32"/>
  <c r="J84" i="32" s="1"/>
  <c r="K84" i="32" s="1"/>
  <c r="I85" i="32"/>
  <c r="J85" i="32" s="1"/>
  <c r="K85" i="32" s="1"/>
  <c r="I86" i="32"/>
  <c r="J86" i="32" s="1"/>
  <c r="K86" i="32" s="1"/>
  <c r="I87" i="32"/>
  <c r="J87" i="32" s="1"/>
  <c r="K87" i="32" s="1"/>
  <c r="I88" i="32"/>
  <c r="I89" i="32"/>
  <c r="J89" i="32" s="1"/>
  <c r="K89" i="32" s="1"/>
  <c r="I90" i="32"/>
  <c r="I91" i="32"/>
  <c r="J91" i="32"/>
  <c r="K91" i="32" s="1"/>
  <c r="I92" i="32"/>
  <c r="J92" i="32" s="1"/>
  <c r="K92" i="32" s="1"/>
  <c r="I93" i="32"/>
  <c r="J93" i="32" s="1"/>
  <c r="K93" i="32" s="1"/>
  <c r="I95" i="32"/>
  <c r="J74" i="32" s="1"/>
  <c r="K74" i="32" s="1"/>
  <c r="B66" i="30"/>
  <c r="C60" i="30"/>
  <c r="B60" i="30"/>
  <c r="K49" i="30"/>
  <c r="J49" i="30"/>
  <c r="I49" i="30"/>
  <c r="H49" i="30"/>
  <c r="G49" i="30"/>
  <c r="F49" i="30"/>
  <c r="E49" i="30"/>
  <c r="D49" i="30"/>
  <c r="C49" i="30"/>
  <c r="B49" i="30"/>
  <c r="K48" i="30"/>
  <c r="J48" i="30"/>
  <c r="I48" i="30"/>
  <c r="H48" i="30"/>
  <c r="G48" i="30"/>
  <c r="F48" i="30"/>
  <c r="E48" i="30"/>
  <c r="D48" i="30"/>
  <c r="C48" i="30"/>
  <c r="B48" i="30"/>
  <c r="K47" i="30"/>
  <c r="J47" i="30"/>
  <c r="I47" i="30"/>
  <c r="H47" i="30"/>
  <c r="G47" i="30"/>
  <c r="F47" i="30"/>
  <c r="E47" i="30"/>
  <c r="D47" i="30"/>
  <c r="C47" i="30"/>
  <c r="B47" i="30"/>
  <c r="K46" i="30"/>
  <c r="J46" i="30"/>
  <c r="I46" i="30"/>
  <c r="H46" i="30"/>
  <c r="G46" i="30"/>
  <c r="F46" i="30"/>
  <c r="E46" i="30"/>
  <c r="D46" i="30"/>
  <c r="C46" i="30"/>
  <c r="B46" i="30"/>
  <c r="K45" i="30"/>
  <c r="J45" i="30"/>
  <c r="I45" i="30"/>
  <c r="H45" i="30"/>
  <c r="G45" i="30"/>
  <c r="F45" i="30"/>
  <c r="E45" i="30"/>
  <c r="D45" i="30"/>
  <c r="C45" i="30"/>
  <c r="B45" i="30"/>
  <c r="B8" i="30"/>
  <c r="E4" i="30"/>
  <c r="E60" i="30" s="1"/>
  <c r="D4" i="30"/>
  <c r="D60" i="30" s="1"/>
  <c r="C4" i="30"/>
  <c r="M121" i="29"/>
  <c r="L121" i="29"/>
  <c r="K121" i="29"/>
  <c r="J121" i="29"/>
  <c r="I121" i="29"/>
  <c r="H121" i="29"/>
  <c r="G121" i="29"/>
  <c r="F121" i="29"/>
  <c r="E121" i="29"/>
  <c r="D121" i="29"/>
  <c r="C121" i="29"/>
  <c r="B121" i="29"/>
  <c r="M116" i="29"/>
  <c r="L116" i="29"/>
  <c r="K116" i="29"/>
  <c r="J116" i="29"/>
  <c r="I116" i="29"/>
  <c r="H116" i="29"/>
  <c r="G116" i="29"/>
  <c r="F116" i="29"/>
  <c r="L109" i="29"/>
  <c r="H109" i="29"/>
  <c r="G109" i="29"/>
  <c r="M108" i="29"/>
  <c r="L108" i="29"/>
  <c r="K108" i="29"/>
  <c r="J108" i="29"/>
  <c r="I108" i="29"/>
  <c r="H108" i="29"/>
  <c r="G108" i="29"/>
  <c r="F108" i="29"/>
  <c r="M103" i="29"/>
  <c r="M109" i="29" s="1"/>
  <c r="L103" i="29"/>
  <c r="K103" i="29"/>
  <c r="K109" i="29" s="1"/>
  <c r="J103" i="29"/>
  <c r="J109" i="29" s="1"/>
  <c r="I103" i="29"/>
  <c r="H103" i="29"/>
  <c r="H104" i="29" s="1"/>
  <c r="G103" i="29"/>
  <c r="F103" i="29"/>
  <c r="F109" i="29" s="1"/>
  <c r="M96" i="29"/>
  <c r="H96" i="29"/>
  <c r="D95" i="29"/>
  <c r="D96" i="29" s="1"/>
  <c r="C95" i="29"/>
  <c r="C96" i="29" s="1"/>
  <c r="B95" i="29"/>
  <c r="L94" i="29"/>
  <c r="K94" i="29"/>
  <c r="J94" i="29"/>
  <c r="I94" i="29"/>
  <c r="H94" i="29"/>
  <c r="G94" i="29"/>
  <c r="F94" i="29"/>
  <c r="E94" i="29"/>
  <c r="D94" i="29"/>
  <c r="C94" i="29"/>
  <c r="B94" i="29"/>
  <c r="L93" i="29"/>
  <c r="K93" i="29"/>
  <c r="J93" i="29"/>
  <c r="I93" i="29"/>
  <c r="I96" i="29" s="1"/>
  <c r="H93" i="29"/>
  <c r="G93" i="29"/>
  <c r="F93" i="29"/>
  <c r="E93" i="29"/>
  <c r="D93" i="29"/>
  <c r="C93" i="29"/>
  <c r="B93" i="29"/>
  <c r="H88" i="29"/>
  <c r="H79" i="29"/>
  <c r="C79" i="29"/>
  <c r="B79" i="29"/>
  <c r="J68" i="29"/>
  <c r="G68" i="29"/>
  <c r="H67" i="29"/>
  <c r="M66" i="29"/>
  <c r="F66" i="29"/>
  <c r="C66" i="29"/>
  <c r="B66" i="29"/>
  <c r="J65" i="29"/>
  <c r="B65" i="29"/>
  <c r="K64" i="29"/>
  <c r="F64" i="29"/>
  <c r="J63" i="29"/>
  <c r="G63" i="29"/>
  <c r="B63" i="29"/>
  <c r="M57" i="29"/>
  <c r="L57" i="29"/>
  <c r="K57" i="29"/>
  <c r="J57" i="29"/>
  <c r="I57" i="29"/>
  <c r="H57" i="29"/>
  <c r="M56" i="29"/>
  <c r="L56" i="29"/>
  <c r="H56" i="29"/>
  <c r="I55" i="29"/>
  <c r="F55" i="29"/>
  <c r="E55" i="29"/>
  <c r="I54" i="29"/>
  <c r="E54" i="29"/>
  <c r="B54" i="29"/>
  <c r="B59" i="29" s="1"/>
  <c r="I50" i="29"/>
  <c r="E50" i="29"/>
  <c r="M49" i="29"/>
  <c r="L49" i="29"/>
  <c r="K49" i="29"/>
  <c r="J49" i="29"/>
  <c r="I49" i="29"/>
  <c r="H49" i="29"/>
  <c r="G49" i="29"/>
  <c r="F49" i="29"/>
  <c r="K48" i="29"/>
  <c r="J48" i="29"/>
  <c r="I48" i="29"/>
  <c r="H48" i="29"/>
  <c r="G48" i="29"/>
  <c r="F48" i="29"/>
  <c r="M47" i="29"/>
  <c r="L47" i="29"/>
  <c r="K47" i="29"/>
  <c r="J47" i="29"/>
  <c r="I47" i="29"/>
  <c r="H47" i="29"/>
  <c r="G47" i="29"/>
  <c r="F47" i="29"/>
  <c r="E47" i="29"/>
  <c r="D47" i="29"/>
  <c r="C47" i="29"/>
  <c r="B47" i="29"/>
  <c r="L46" i="29"/>
  <c r="K46" i="29"/>
  <c r="J46" i="29"/>
  <c r="I46" i="29"/>
  <c r="H46" i="29"/>
  <c r="G46" i="29"/>
  <c r="F46" i="29"/>
  <c r="E46" i="29"/>
  <c r="D46" i="29"/>
  <c r="C46" i="29"/>
  <c r="B46" i="29"/>
  <c r="L45" i="29"/>
  <c r="K45" i="29"/>
  <c r="J45" i="29"/>
  <c r="I45" i="29"/>
  <c r="H45" i="29"/>
  <c r="G45" i="29"/>
  <c r="F45" i="29"/>
  <c r="E45" i="29"/>
  <c r="D45" i="29"/>
  <c r="C45" i="29"/>
  <c r="B45" i="29"/>
  <c r="L44" i="29"/>
  <c r="K44" i="29"/>
  <c r="J44" i="29"/>
  <c r="I44" i="29"/>
  <c r="H44" i="29"/>
  <c r="H50" i="29" s="1"/>
  <c r="G44" i="29"/>
  <c r="F44" i="29"/>
  <c r="F50" i="29" s="1"/>
  <c r="E44" i="29"/>
  <c r="D44" i="29"/>
  <c r="C44" i="29"/>
  <c r="B44" i="29"/>
  <c r="B40" i="29"/>
  <c r="J39" i="29"/>
  <c r="J40" i="29" s="1"/>
  <c r="F39" i="29"/>
  <c r="F40" i="29" s="1"/>
  <c r="D39" i="29"/>
  <c r="D40" i="29" s="1"/>
  <c r="B39" i="29"/>
  <c r="L36" i="29"/>
  <c r="K36" i="29"/>
  <c r="J36" i="29"/>
  <c r="I36" i="29"/>
  <c r="H36" i="29"/>
  <c r="G36" i="29"/>
  <c r="F36" i="29"/>
  <c r="E36" i="29"/>
  <c r="L35" i="29"/>
  <c r="K35" i="29"/>
  <c r="J35" i="29"/>
  <c r="I35" i="29"/>
  <c r="I39" i="29" s="1"/>
  <c r="I40" i="29" s="1"/>
  <c r="H35" i="29"/>
  <c r="G35" i="29"/>
  <c r="F35" i="29"/>
  <c r="E35" i="29"/>
  <c r="D35" i="29"/>
  <c r="C35" i="29"/>
  <c r="B35" i="29"/>
  <c r="M34" i="29"/>
  <c r="L34" i="29"/>
  <c r="L39" i="29" s="1"/>
  <c r="L40" i="29" s="1"/>
  <c r="K34" i="29"/>
  <c r="K39" i="29" s="1"/>
  <c r="K40" i="29" s="1"/>
  <c r="J34" i="29"/>
  <c r="I34" i="29"/>
  <c r="H34" i="29"/>
  <c r="G34" i="29"/>
  <c r="F34" i="29"/>
  <c r="E34" i="29"/>
  <c r="E39" i="29" s="1"/>
  <c r="E40" i="29" s="1"/>
  <c r="D34" i="29"/>
  <c r="C34" i="29"/>
  <c r="C39" i="29" s="1"/>
  <c r="C40" i="29" s="1"/>
  <c r="B34" i="29"/>
  <c r="M28" i="29"/>
  <c r="M68" i="29" s="1"/>
  <c r="L28" i="29"/>
  <c r="L68" i="29" s="1"/>
  <c r="K28" i="29"/>
  <c r="K68" i="29" s="1"/>
  <c r="J28" i="29"/>
  <c r="I28" i="29"/>
  <c r="I68" i="29" s="1"/>
  <c r="H28" i="29"/>
  <c r="H68" i="29" s="1"/>
  <c r="G28" i="29"/>
  <c r="F28" i="29"/>
  <c r="F68" i="29" s="1"/>
  <c r="M27" i="29"/>
  <c r="K27" i="29"/>
  <c r="K67" i="29" s="1"/>
  <c r="J27" i="29"/>
  <c r="J67" i="29" s="1"/>
  <c r="I27" i="29"/>
  <c r="I67" i="29" s="1"/>
  <c r="H27" i="29"/>
  <c r="G27" i="29"/>
  <c r="G67" i="29" s="1"/>
  <c r="F27" i="29"/>
  <c r="F67" i="29" s="1"/>
  <c r="M26" i="29"/>
  <c r="L26" i="29"/>
  <c r="L66" i="29" s="1"/>
  <c r="K26" i="29"/>
  <c r="K66" i="29" s="1"/>
  <c r="J26" i="29"/>
  <c r="J66" i="29" s="1"/>
  <c r="I26" i="29"/>
  <c r="I66" i="29" s="1"/>
  <c r="H26" i="29"/>
  <c r="H66" i="29" s="1"/>
  <c r="G26" i="29"/>
  <c r="G66" i="29" s="1"/>
  <c r="F26" i="29"/>
  <c r="E26" i="29"/>
  <c r="E66" i="29" s="1"/>
  <c r="D26" i="29"/>
  <c r="D66" i="29" s="1"/>
  <c r="C26" i="29"/>
  <c r="B26" i="29"/>
  <c r="M25" i="29"/>
  <c r="M65" i="29" s="1"/>
  <c r="L25" i="29"/>
  <c r="L65" i="29" s="1"/>
  <c r="K25" i="29"/>
  <c r="K65" i="29" s="1"/>
  <c r="J25" i="29"/>
  <c r="I25" i="29"/>
  <c r="I65" i="29" s="1"/>
  <c r="H25" i="29"/>
  <c r="G25" i="29"/>
  <c r="G65" i="29" s="1"/>
  <c r="F25" i="29"/>
  <c r="F65" i="29" s="1"/>
  <c r="E25" i="29"/>
  <c r="E65" i="29" s="1"/>
  <c r="D25" i="29"/>
  <c r="D65" i="29" s="1"/>
  <c r="C25" i="29"/>
  <c r="C65" i="29" s="1"/>
  <c r="B25" i="29"/>
  <c r="L24" i="29"/>
  <c r="L64" i="29" s="1"/>
  <c r="K24" i="29"/>
  <c r="J24" i="29"/>
  <c r="J64" i="29" s="1"/>
  <c r="I24" i="29"/>
  <c r="I64" i="29" s="1"/>
  <c r="H24" i="29"/>
  <c r="H64" i="29" s="1"/>
  <c r="G24" i="29"/>
  <c r="G64" i="29" s="1"/>
  <c r="F24" i="29"/>
  <c r="E24" i="29"/>
  <c r="E64" i="29" s="1"/>
  <c r="D24" i="29"/>
  <c r="D64" i="29" s="1"/>
  <c r="C24" i="29"/>
  <c r="C64" i="29" s="1"/>
  <c r="B24" i="29"/>
  <c r="B64" i="29" s="1"/>
  <c r="L23" i="29"/>
  <c r="L63" i="29" s="1"/>
  <c r="K23" i="29"/>
  <c r="K63" i="29" s="1"/>
  <c r="J23" i="29"/>
  <c r="I23" i="29"/>
  <c r="I63" i="29" s="1"/>
  <c r="H23" i="29"/>
  <c r="H63" i="29" s="1"/>
  <c r="G23" i="29"/>
  <c r="F23" i="29"/>
  <c r="F63" i="29" s="1"/>
  <c r="E23" i="29"/>
  <c r="E63" i="29" s="1"/>
  <c r="D23" i="29"/>
  <c r="D63" i="29" s="1"/>
  <c r="C23" i="29"/>
  <c r="C63" i="29" s="1"/>
  <c r="B23" i="29"/>
  <c r="K22" i="29"/>
  <c r="J22" i="29"/>
  <c r="I22" i="29"/>
  <c r="I29" i="29" s="1"/>
  <c r="H22" i="29"/>
  <c r="G22" i="29"/>
  <c r="F22" i="29"/>
  <c r="E22" i="29"/>
  <c r="D22" i="29"/>
  <c r="C22" i="29"/>
  <c r="B22" i="29"/>
  <c r="M21" i="29"/>
  <c r="L21" i="29"/>
  <c r="K21" i="29"/>
  <c r="K56" i="29" s="1"/>
  <c r="J21" i="29"/>
  <c r="J56" i="29" s="1"/>
  <c r="I21" i="29"/>
  <c r="I56" i="29" s="1"/>
  <c r="H21" i="29"/>
  <c r="G21" i="29"/>
  <c r="G56" i="29" s="1"/>
  <c r="F21" i="29"/>
  <c r="F56" i="29" s="1"/>
  <c r="E21" i="29"/>
  <c r="E56" i="29" s="1"/>
  <c r="L20" i="29"/>
  <c r="L55" i="29" s="1"/>
  <c r="K20" i="29"/>
  <c r="K55" i="29" s="1"/>
  <c r="J20" i="29"/>
  <c r="J55" i="29" s="1"/>
  <c r="I20" i="29"/>
  <c r="H20" i="29"/>
  <c r="H55" i="29" s="1"/>
  <c r="G20" i="29"/>
  <c r="G55" i="29" s="1"/>
  <c r="F20" i="29"/>
  <c r="E20" i="29"/>
  <c r="D20" i="29"/>
  <c r="D55" i="29" s="1"/>
  <c r="C20" i="29"/>
  <c r="C55" i="29" s="1"/>
  <c r="B20" i="29"/>
  <c r="B55" i="29" s="1"/>
  <c r="L19" i="29"/>
  <c r="K19" i="29"/>
  <c r="K54" i="29" s="1"/>
  <c r="K59" i="29" s="1"/>
  <c r="J19" i="29"/>
  <c r="I19" i="29"/>
  <c r="H19" i="29"/>
  <c r="H54" i="29" s="1"/>
  <c r="G19" i="29"/>
  <c r="G54" i="29" s="1"/>
  <c r="F19" i="29"/>
  <c r="E19" i="29"/>
  <c r="D19" i="29"/>
  <c r="C19" i="29"/>
  <c r="C54" i="29" s="1"/>
  <c r="C59" i="29" s="1"/>
  <c r="B19" i="29"/>
  <c r="L13" i="29"/>
  <c r="L95" i="29" s="1"/>
  <c r="L96" i="29" s="1"/>
  <c r="K13" i="29"/>
  <c r="K95" i="29" s="1"/>
  <c r="K96" i="29" s="1"/>
  <c r="J13" i="29"/>
  <c r="J95" i="29" s="1"/>
  <c r="J96" i="29" s="1"/>
  <c r="I13" i="29"/>
  <c r="I95" i="29" s="1"/>
  <c r="H13" i="29"/>
  <c r="H95" i="29" s="1"/>
  <c r="G13" i="29"/>
  <c r="G95" i="29" s="1"/>
  <c r="F13" i="29"/>
  <c r="F95" i="29" s="1"/>
  <c r="E13" i="29"/>
  <c r="E95" i="29" s="1"/>
  <c r="K10" i="29"/>
  <c r="M8" i="29"/>
  <c r="M45" i="29" s="1"/>
  <c r="M7" i="29"/>
  <c r="M6" i="29"/>
  <c r="M22" i="29" s="1"/>
  <c r="M5" i="29"/>
  <c r="M36" i="29" s="1"/>
  <c r="M4" i="29"/>
  <c r="M3" i="29"/>
  <c r="R22" i="28"/>
  <c r="AM20" i="28"/>
  <c r="AL20" i="28"/>
  <c r="AI20" i="28" s="1"/>
  <c r="AK20" i="28"/>
  <c r="AJ20" i="28"/>
  <c r="AA20" i="28"/>
  <c r="S20" i="28"/>
  <c r="K20" i="28"/>
  <c r="C20" i="28"/>
  <c r="AI16" i="28"/>
  <c r="AA16" i="28"/>
  <c r="S16" i="28"/>
  <c r="K16" i="28"/>
  <c r="C16" i="28"/>
  <c r="B16" i="28" s="1"/>
  <c r="AI15" i="28"/>
  <c r="AA15" i="28"/>
  <c r="S15" i="28"/>
  <c r="R15" i="28" s="1"/>
  <c r="K15" i="28"/>
  <c r="C15" i="28"/>
  <c r="AI14" i="28"/>
  <c r="AA14" i="28"/>
  <c r="S14" i="28"/>
  <c r="R14" i="28" s="1"/>
  <c r="K14" i="28"/>
  <c r="C14" i="28"/>
  <c r="AI13" i="28"/>
  <c r="AA13" i="28"/>
  <c r="S13" i="28"/>
  <c r="R13" i="28" s="1"/>
  <c r="K13" i="28"/>
  <c r="C13" i="28"/>
  <c r="B13" i="28" s="1"/>
  <c r="AK12" i="28"/>
  <c r="AJ12" i="28"/>
  <c r="AI12" i="28"/>
  <c r="AA12" i="28"/>
  <c r="S12" i="28"/>
  <c r="R12" i="28" s="1"/>
  <c r="K12" i="28"/>
  <c r="C12" i="28"/>
  <c r="B12" i="28" s="1"/>
  <c r="AK11" i="28"/>
  <c r="AJ11" i="28"/>
  <c r="AI11" i="28"/>
  <c r="AA11" i="28"/>
  <c r="S11" i="28"/>
  <c r="R11" i="28" s="1"/>
  <c r="K11" i="28"/>
  <c r="C11" i="28"/>
  <c r="B11" i="28" s="1"/>
  <c r="AK10" i="28"/>
  <c r="AJ10" i="28"/>
  <c r="AI10" i="28"/>
  <c r="AA10" i="28"/>
  <c r="S10" i="28"/>
  <c r="R10" i="28" s="1"/>
  <c r="K10" i="28"/>
  <c r="J10" i="28"/>
  <c r="C10" i="28"/>
  <c r="B10" i="28" s="1"/>
  <c r="AI9" i="28"/>
  <c r="AA9" i="28"/>
  <c r="S9" i="28"/>
  <c r="R9" i="28" s="1"/>
  <c r="K9" i="28"/>
  <c r="C9" i="28"/>
  <c r="AK8" i="28"/>
  <c r="AI8" i="28" s="1"/>
  <c r="AJ8" i="28"/>
  <c r="AA8" i="28"/>
  <c r="S8" i="28"/>
  <c r="R8" i="28"/>
  <c r="K8" i="28"/>
  <c r="C8" i="28"/>
  <c r="B8" i="28" s="1"/>
  <c r="AM7" i="28"/>
  <c r="AK7" i="28"/>
  <c r="AJ7" i="28"/>
  <c r="AA7" i="28"/>
  <c r="Z7" i="28" s="1"/>
  <c r="S7" i="28"/>
  <c r="R7" i="28" s="1"/>
  <c r="K7" i="28"/>
  <c r="C7" i="28"/>
  <c r="B7" i="28" s="1"/>
  <c r="AM6" i="28"/>
  <c r="AA6" i="28"/>
  <c r="S6" i="28"/>
  <c r="R6" i="28" s="1"/>
  <c r="K6" i="28"/>
  <c r="J6" i="28" s="1"/>
  <c r="C6" i="28"/>
  <c r="B6" i="28" s="1"/>
  <c r="AK5" i="28"/>
  <c r="AJ5" i="28"/>
  <c r="AA5" i="28"/>
  <c r="S5" i="28"/>
  <c r="R5" i="28" s="1"/>
  <c r="K5" i="28"/>
  <c r="J5" i="28" s="1"/>
  <c r="C5" i="28"/>
  <c r="B5" i="28"/>
  <c r="AM4" i="28"/>
  <c r="AJ4" i="28"/>
  <c r="AA4" i="28"/>
  <c r="S4" i="28"/>
  <c r="R4" i="28" s="1"/>
  <c r="K4" i="28"/>
  <c r="J4" i="28" s="1"/>
  <c r="C4" i="28"/>
  <c r="B4" i="28" s="1"/>
  <c r="AM3" i="28"/>
  <c r="AK3" i="28"/>
  <c r="AJ3" i="28"/>
  <c r="AA3" i="28"/>
  <c r="S3" i="28"/>
  <c r="R3" i="28"/>
  <c r="K3" i="28"/>
  <c r="C3" i="28"/>
  <c r="B3" i="28" s="1"/>
  <c r="AM2" i="28"/>
  <c r="AJ2" i="28"/>
  <c r="AA2" i="28"/>
  <c r="S2" i="28"/>
  <c r="R2" i="28"/>
  <c r="K2" i="28"/>
  <c r="C2" i="28"/>
  <c r="B2" i="28" s="1"/>
  <c r="CG37" i="27"/>
  <c r="CG32" i="27"/>
  <c r="BW32" i="27"/>
  <c r="BC32" i="27"/>
  <c r="AI32" i="27"/>
  <c r="O27" i="27"/>
  <c r="K27" i="27"/>
  <c r="W26" i="27"/>
  <c r="S26" i="27"/>
  <c r="K26" i="27"/>
  <c r="J26" i="27" s="1"/>
  <c r="S25" i="27"/>
  <c r="K25" i="27"/>
  <c r="J25" i="27"/>
  <c r="G25" i="27"/>
  <c r="C25" i="27"/>
  <c r="S24" i="27"/>
  <c r="K24" i="27"/>
  <c r="C24" i="27"/>
  <c r="S23" i="27"/>
  <c r="R23" i="27" s="1"/>
  <c r="K23" i="27"/>
  <c r="J23" i="27" s="1"/>
  <c r="C23" i="27"/>
  <c r="S22" i="27"/>
  <c r="K22" i="27"/>
  <c r="J22" i="27"/>
  <c r="C22" i="27"/>
  <c r="AY21" i="27"/>
  <c r="AT21" i="27"/>
  <c r="AO21" i="27"/>
  <c r="AJ21" i="27"/>
  <c r="AF21" i="27"/>
  <c r="AA21" i="27"/>
  <c r="S21" i="27"/>
  <c r="R21" i="27" s="1"/>
  <c r="K21" i="27"/>
  <c r="J21" i="27"/>
  <c r="C21" i="27"/>
  <c r="B21" i="27"/>
  <c r="DF20" i="27"/>
  <c r="DE20" i="27"/>
  <c r="DD20" i="27"/>
  <c r="DB20" i="27" s="1"/>
  <c r="DA32" i="27" s="1"/>
  <c r="DC20" i="27"/>
  <c r="CR20" i="27"/>
  <c r="CH20" i="27"/>
  <c r="BX20" i="27"/>
  <c r="AT20" i="27"/>
  <c r="AS20" i="27" s="1"/>
  <c r="AJ20" i="27"/>
  <c r="AI20" i="27" s="1"/>
  <c r="AA20" i="27"/>
  <c r="Z20" i="27"/>
  <c r="S20" i="27"/>
  <c r="R20" i="27"/>
  <c r="K20" i="27"/>
  <c r="J20" i="27" s="1"/>
  <c r="C20" i="27"/>
  <c r="DB19" i="27"/>
  <c r="DA19" i="27"/>
  <c r="CR19" i="27"/>
  <c r="CQ19" i="27"/>
  <c r="CH19" i="27"/>
  <c r="CG19" i="27" s="1"/>
  <c r="BX19" i="27"/>
  <c r="BW19" i="27" s="1"/>
  <c r="AT19" i="27"/>
  <c r="AJ19" i="27"/>
  <c r="AI19" i="27"/>
  <c r="AA19" i="27"/>
  <c r="Z19" i="27"/>
  <c r="S19" i="27"/>
  <c r="R19" i="27" s="1"/>
  <c r="K19" i="27"/>
  <c r="C19" i="27"/>
  <c r="DB18" i="27"/>
  <c r="DA18" i="27" s="1"/>
  <c r="CR18" i="27"/>
  <c r="CH18" i="27"/>
  <c r="CG18" i="27"/>
  <c r="BX18" i="27"/>
  <c r="AT18" i="27"/>
  <c r="AS18" i="27"/>
  <c r="AJ18" i="27"/>
  <c r="AI18" i="27" s="1"/>
  <c r="AA18" i="27"/>
  <c r="Z18" i="27"/>
  <c r="S18" i="27"/>
  <c r="K18" i="27"/>
  <c r="C18" i="27"/>
  <c r="DG17" i="27"/>
  <c r="DB17" i="27"/>
  <c r="DA17" i="27" s="1"/>
  <c r="CR17" i="27"/>
  <c r="CQ17" i="27" s="1"/>
  <c r="CH17" i="27"/>
  <c r="CG17" i="27" s="1"/>
  <c r="BX17" i="27"/>
  <c r="BI17" i="27"/>
  <c r="BD17" i="27" s="1"/>
  <c r="BC8" i="27" s="1"/>
  <c r="AT17" i="27"/>
  <c r="AS17" i="27" s="1"/>
  <c r="AJ17" i="27"/>
  <c r="AI17" i="27" s="1"/>
  <c r="AA17" i="27"/>
  <c r="S17" i="27"/>
  <c r="R17" i="27" s="1"/>
  <c r="K17" i="27"/>
  <c r="C17" i="27"/>
  <c r="DG16" i="27"/>
  <c r="DB16" i="27"/>
  <c r="DA16" i="27"/>
  <c r="CR16" i="27"/>
  <c r="CQ16" i="27"/>
  <c r="CH16" i="27"/>
  <c r="CG16" i="27"/>
  <c r="BX16" i="27"/>
  <c r="BD16" i="27"/>
  <c r="BC16" i="27"/>
  <c r="AT16" i="27"/>
  <c r="AS16" i="27"/>
  <c r="AJ16" i="27"/>
  <c r="AI16" i="27" s="1"/>
  <c r="AA16" i="27"/>
  <c r="S16" i="27"/>
  <c r="R16" i="27"/>
  <c r="K16" i="27"/>
  <c r="J16" i="27"/>
  <c r="C16" i="27"/>
  <c r="DD15" i="27"/>
  <c r="DB15" i="27" s="1"/>
  <c r="DC15" i="27"/>
  <c r="DA15" i="27"/>
  <c r="CR15" i="27"/>
  <c r="CQ15" i="27"/>
  <c r="CH15" i="27"/>
  <c r="CG15" i="27" s="1"/>
  <c r="BX15" i="27"/>
  <c r="BW15" i="27" s="1"/>
  <c r="BS15" i="27"/>
  <c r="BN15" i="27"/>
  <c r="BD15" i="27"/>
  <c r="BC15" i="27"/>
  <c r="AT15" i="27"/>
  <c r="AS15" i="27"/>
  <c r="AJ15" i="27"/>
  <c r="AI15" i="27" s="1"/>
  <c r="AA15" i="27"/>
  <c r="S15" i="27"/>
  <c r="K15" i="27"/>
  <c r="J15" i="27" s="1"/>
  <c r="C15" i="27"/>
  <c r="DB14" i="27"/>
  <c r="DA14" i="27"/>
  <c r="CR14" i="27"/>
  <c r="CH14" i="27"/>
  <c r="CG14" i="27"/>
  <c r="BX14" i="27"/>
  <c r="BW14" i="27" s="1"/>
  <c r="BN14" i="27"/>
  <c r="BM14" i="27"/>
  <c r="BD14" i="27"/>
  <c r="AT14" i="27"/>
  <c r="AJ14" i="27"/>
  <c r="AI14" i="27" s="1"/>
  <c r="AA14" i="27"/>
  <c r="Z14" i="27"/>
  <c r="S14" i="27"/>
  <c r="R14" i="27"/>
  <c r="K14" i="27"/>
  <c r="C14" i="27"/>
  <c r="DG13" i="27"/>
  <c r="DB13" i="27"/>
  <c r="DA13" i="27" s="1"/>
  <c r="CR13" i="27"/>
  <c r="CQ13" i="27"/>
  <c r="CH13" i="27"/>
  <c r="CG13" i="27" s="1"/>
  <c r="BX13" i="27"/>
  <c r="BN13" i="27"/>
  <c r="BM13" i="27" s="1"/>
  <c r="BD13" i="27"/>
  <c r="BC13" i="27"/>
  <c r="AT13" i="27"/>
  <c r="AS13" i="27" s="1"/>
  <c r="AJ13" i="27"/>
  <c r="AA13" i="27"/>
  <c r="Z13" i="27" s="1"/>
  <c r="S13" i="27"/>
  <c r="R13" i="27" s="1"/>
  <c r="K13" i="27"/>
  <c r="C13" i="27"/>
  <c r="DD12" i="27"/>
  <c r="DB12" i="27" s="1"/>
  <c r="DA12" i="27" s="1"/>
  <c r="DC12" i="27"/>
  <c r="CR12" i="27"/>
  <c r="CQ12" i="27" s="1"/>
  <c r="CH12" i="27"/>
  <c r="CG12" i="27"/>
  <c r="BX12" i="27"/>
  <c r="BN12" i="27"/>
  <c r="BM12" i="27"/>
  <c r="BD12" i="27"/>
  <c r="BC12" i="27" s="1"/>
  <c r="AT12" i="27"/>
  <c r="AJ12" i="27"/>
  <c r="AI12" i="27" s="1"/>
  <c r="AA12" i="27"/>
  <c r="S12" i="27"/>
  <c r="K12" i="27"/>
  <c r="C12" i="27"/>
  <c r="DG11" i="27"/>
  <c r="DB11" i="27" s="1"/>
  <c r="DA11" i="27" s="1"/>
  <c r="CR11" i="27"/>
  <c r="CH11" i="27"/>
  <c r="CG11" i="27"/>
  <c r="BX11" i="27"/>
  <c r="BW11" i="27"/>
  <c r="BN11" i="27"/>
  <c r="BM11" i="27" s="1"/>
  <c r="BJ11" i="27"/>
  <c r="BD11" i="27" s="1"/>
  <c r="BC11" i="27" s="1"/>
  <c r="AT11" i="27"/>
  <c r="AJ11" i="27"/>
  <c r="AI11" i="27"/>
  <c r="AA11" i="27"/>
  <c r="Z11" i="27" s="1"/>
  <c r="S11" i="27"/>
  <c r="K11" i="27"/>
  <c r="J11" i="27" s="1"/>
  <c r="C11" i="27"/>
  <c r="DF10" i="27"/>
  <c r="DD10" i="27"/>
  <c r="DC10" i="27"/>
  <c r="CR10" i="27"/>
  <c r="CQ10" i="27"/>
  <c r="CH10" i="27"/>
  <c r="CG10" i="27" s="1"/>
  <c r="BX10" i="27"/>
  <c r="BN10" i="27"/>
  <c r="BM10" i="27" s="1"/>
  <c r="BD10" i="27"/>
  <c r="BC10" i="27"/>
  <c r="AT10" i="27"/>
  <c r="AS10" i="27" s="1"/>
  <c r="AJ10" i="27"/>
  <c r="AA10" i="27"/>
  <c r="Z10" i="27" s="1"/>
  <c r="S10" i="27"/>
  <c r="R10" i="27" s="1"/>
  <c r="K10" i="27"/>
  <c r="C10" i="27"/>
  <c r="DB9" i="27"/>
  <c r="DA9" i="27" s="1"/>
  <c r="CX9" i="27"/>
  <c r="CR9" i="27"/>
  <c r="CQ9" i="27"/>
  <c r="CH9" i="27"/>
  <c r="CG9" i="27" s="1"/>
  <c r="BX9" i="27"/>
  <c r="BT9" i="27"/>
  <c r="BN9" i="27"/>
  <c r="BM9" i="27"/>
  <c r="BD9" i="27"/>
  <c r="BC9" i="27" s="1"/>
  <c r="AT9" i="27"/>
  <c r="AJ9" i="27"/>
  <c r="AI9" i="27" s="1"/>
  <c r="AA9" i="27"/>
  <c r="Z9" i="27" s="1"/>
  <c r="S9" i="27"/>
  <c r="K9" i="27"/>
  <c r="C9" i="27"/>
  <c r="DD8" i="27"/>
  <c r="DC8" i="27"/>
  <c r="DB8" i="27"/>
  <c r="DA8" i="27" s="1"/>
  <c r="CR8" i="27"/>
  <c r="CH8" i="27"/>
  <c r="CG8" i="27" s="1"/>
  <c r="BX8" i="27"/>
  <c r="BN8" i="27"/>
  <c r="BM8" i="27" s="1"/>
  <c r="BD8" i="27"/>
  <c r="AT8" i="27"/>
  <c r="AS8" i="27" s="1"/>
  <c r="AJ8" i="27"/>
  <c r="AI8" i="27"/>
  <c r="AA8" i="27"/>
  <c r="S8" i="27"/>
  <c r="K8" i="27"/>
  <c r="C8" i="27"/>
  <c r="B8" i="27" s="1"/>
  <c r="DF7" i="27"/>
  <c r="CR7" i="27"/>
  <c r="CH7" i="27"/>
  <c r="CG7" i="27" s="1"/>
  <c r="BX7" i="27"/>
  <c r="BN7" i="27"/>
  <c r="BD7" i="27"/>
  <c r="BC7" i="27" s="1"/>
  <c r="AT7" i="27"/>
  <c r="AS7" i="27" s="1"/>
  <c r="AJ7" i="27"/>
  <c r="AI7" i="27" s="1"/>
  <c r="AA7" i="27"/>
  <c r="S7" i="27"/>
  <c r="K7" i="27"/>
  <c r="C7" i="27"/>
  <c r="DG6" i="27"/>
  <c r="DD6" i="27"/>
  <c r="DC6" i="27"/>
  <c r="CW6" i="27"/>
  <c r="CR6" i="27" s="1"/>
  <c r="CM6" i="27"/>
  <c r="CH6" i="27"/>
  <c r="CG6" i="27" s="1"/>
  <c r="CC6" i="27"/>
  <c r="BX6" i="27" s="1"/>
  <c r="BW6" i="27"/>
  <c r="BN6" i="27"/>
  <c r="BM6" i="27" s="1"/>
  <c r="BD6" i="27"/>
  <c r="AT6" i="27"/>
  <c r="AS6" i="27"/>
  <c r="AJ6" i="27"/>
  <c r="AI6" i="27" s="1"/>
  <c r="AI33" i="27" s="1"/>
  <c r="F38" i="30" s="1"/>
  <c r="AA6" i="27"/>
  <c r="Z6" i="27" s="1"/>
  <c r="S6" i="27"/>
  <c r="K6" i="27"/>
  <c r="C6" i="27"/>
  <c r="DF5" i="27"/>
  <c r="DD5" i="27"/>
  <c r="DC5" i="27"/>
  <c r="CR5" i="27"/>
  <c r="CH5" i="27"/>
  <c r="CG5" i="27" s="1"/>
  <c r="BX5" i="27"/>
  <c r="BW5" i="27"/>
  <c r="BS5" i="27"/>
  <c r="BN5" i="27"/>
  <c r="BM5" i="27" s="1"/>
  <c r="BI5" i="27"/>
  <c r="BD5" i="27" s="1"/>
  <c r="AT5" i="27"/>
  <c r="AS5" i="27"/>
  <c r="AJ5" i="27"/>
  <c r="AI5" i="27"/>
  <c r="AA5" i="27"/>
  <c r="Z5" i="27"/>
  <c r="S5" i="27"/>
  <c r="O5" i="27"/>
  <c r="K5" i="27"/>
  <c r="G5" i="27"/>
  <c r="C5" i="27"/>
  <c r="B5" i="27" s="1"/>
  <c r="DD4" i="27"/>
  <c r="DC4" i="27"/>
  <c r="DB4" i="27" s="1"/>
  <c r="DA4" i="27" s="1"/>
  <c r="CR4" i="27"/>
  <c r="CH4" i="27"/>
  <c r="CG4" i="27" s="1"/>
  <c r="BX4" i="27"/>
  <c r="BW4" i="27" s="1"/>
  <c r="BN4" i="27"/>
  <c r="BM4" i="27"/>
  <c r="BD4" i="27"/>
  <c r="AY4" i="27"/>
  <c r="AT4" i="27"/>
  <c r="AS4" i="27"/>
  <c r="AO4" i="27"/>
  <c r="AJ4" i="27" s="1"/>
  <c r="AI4" i="27" s="1"/>
  <c r="AA4" i="27"/>
  <c r="S4" i="27"/>
  <c r="K4" i="27"/>
  <c r="J4" i="27" s="1"/>
  <c r="C4" i="27"/>
  <c r="DG3" i="27"/>
  <c r="DF3" i="27"/>
  <c r="DD3" i="27"/>
  <c r="DC3" i="27"/>
  <c r="CR3" i="27"/>
  <c r="CQ3" i="27" s="1"/>
  <c r="CH3" i="27"/>
  <c r="CG3" i="27"/>
  <c r="BX3" i="27"/>
  <c r="BW3" i="27"/>
  <c r="BN3" i="27"/>
  <c r="BM3" i="27" s="1"/>
  <c r="BD3" i="27"/>
  <c r="AT3" i="27"/>
  <c r="AS3" i="27"/>
  <c r="AJ3" i="27"/>
  <c r="AI3" i="27"/>
  <c r="AA3" i="27"/>
  <c r="Z3" i="27" s="1"/>
  <c r="S3" i="27"/>
  <c r="R3" i="27" s="1"/>
  <c r="K3" i="27"/>
  <c r="C3" i="27"/>
  <c r="DF2" i="27"/>
  <c r="DC2" i="27"/>
  <c r="CR2" i="27"/>
  <c r="CH2" i="27"/>
  <c r="CG2" i="27" s="1"/>
  <c r="CG33" i="27" s="1"/>
  <c r="K38" i="30" s="1"/>
  <c r="BX2" i="27"/>
  <c r="BW2" i="27" s="1"/>
  <c r="BN2" i="27"/>
  <c r="BM2" i="27"/>
  <c r="BD2" i="27"/>
  <c r="BC2" i="27" s="1"/>
  <c r="AT2" i="27"/>
  <c r="AJ2" i="27"/>
  <c r="AI2" i="27" s="1"/>
  <c r="AA2" i="27"/>
  <c r="Z2" i="27" s="1"/>
  <c r="S2" i="27"/>
  <c r="R2" i="27"/>
  <c r="K2" i="27"/>
  <c r="J2" i="27" s="1"/>
  <c r="C2" i="27"/>
  <c r="DX39" i="26"/>
  <c r="S35" i="26"/>
  <c r="R35" i="26"/>
  <c r="Q35" i="26"/>
  <c r="P35" i="26"/>
  <c r="O35" i="26"/>
  <c r="M35" i="26" s="1"/>
  <c r="L29" i="26" s="1"/>
  <c r="AC34" i="26"/>
  <c r="AB34" i="26"/>
  <c r="AA34" i="26"/>
  <c r="Z34" i="26"/>
  <c r="Y34" i="26"/>
  <c r="W33" i="26"/>
  <c r="R33" i="26"/>
  <c r="M33" i="26"/>
  <c r="I33" i="26"/>
  <c r="H33" i="26"/>
  <c r="G33" i="26"/>
  <c r="F33" i="26"/>
  <c r="E33" i="26"/>
  <c r="C33" i="26" s="1"/>
  <c r="B39" i="26" s="1"/>
  <c r="W32" i="26"/>
  <c r="M32" i="26"/>
  <c r="F32" i="26"/>
  <c r="C32" i="26"/>
  <c r="B32" i="26" s="1"/>
  <c r="W31" i="26"/>
  <c r="P31" i="26"/>
  <c r="M31" i="26"/>
  <c r="C31" i="26"/>
  <c r="B31" i="26"/>
  <c r="BK30" i="26"/>
  <c r="BJ30" i="26"/>
  <c r="BH30" i="26"/>
  <c r="BG30" i="26"/>
  <c r="BF30" i="26"/>
  <c r="AN30" i="26"/>
  <c r="AM30" i="26"/>
  <c r="AL30" i="26"/>
  <c r="AG30" i="26" s="1"/>
  <c r="AK30" i="26"/>
  <c r="AJ30" i="26"/>
  <c r="AI30" i="26"/>
  <c r="W30" i="26"/>
  <c r="R30" i="26"/>
  <c r="M30" i="26" s="1"/>
  <c r="L30" i="26" s="1"/>
  <c r="C30" i="26"/>
  <c r="B30" i="26" s="1"/>
  <c r="BK29" i="26"/>
  <c r="BD29" i="26" s="1"/>
  <c r="AK29" i="26"/>
  <c r="AG29" i="26"/>
  <c r="W29" i="26"/>
  <c r="M29" i="26"/>
  <c r="C29" i="26"/>
  <c r="B29" i="26" s="1"/>
  <c r="BD28" i="26"/>
  <c r="AG28" i="26"/>
  <c r="W28" i="26"/>
  <c r="M28" i="26"/>
  <c r="L28" i="26"/>
  <c r="C28" i="26"/>
  <c r="B28" i="26" s="1"/>
  <c r="BK27" i="26"/>
  <c r="BD27" i="26" s="1"/>
  <c r="AY27" i="26"/>
  <c r="AX27" i="26"/>
  <c r="AW27" i="26"/>
  <c r="AV27" i="26"/>
  <c r="AU27" i="26"/>
  <c r="AT27" i="26"/>
  <c r="AR27" i="26" s="1"/>
  <c r="AG27" i="26"/>
  <c r="S27" i="26"/>
  <c r="P27" i="26"/>
  <c r="I27" i="26"/>
  <c r="F27" i="26"/>
  <c r="C27" i="26"/>
  <c r="B27" i="26"/>
  <c r="AR26" i="26"/>
  <c r="AQ26" i="26" s="1"/>
  <c r="AG26" i="26"/>
  <c r="AF26" i="26"/>
  <c r="W26" i="26"/>
  <c r="R26" i="26"/>
  <c r="M26" i="26"/>
  <c r="C26" i="26"/>
  <c r="B26" i="26" s="1"/>
  <c r="BJ25" i="26"/>
  <c r="BD25" i="26" s="1"/>
  <c r="Z25" i="26"/>
  <c r="W25" i="26"/>
  <c r="M25" i="26"/>
  <c r="C25" i="26"/>
  <c r="B25" i="26" s="1"/>
  <c r="BJ24" i="26"/>
  <c r="BD24" i="26" s="1"/>
  <c r="AV24" i="26"/>
  <c r="AR24" i="26" s="1"/>
  <c r="AQ24" i="26" s="1"/>
  <c r="AU24" i="26"/>
  <c r="AS24" i="26"/>
  <c r="AG24" i="26"/>
  <c r="AF24" i="26" s="1"/>
  <c r="AB24" i="26"/>
  <c r="W24" i="26"/>
  <c r="S24" i="26"/>
  <c r="M24" i="26" s="1"/>
  <c r="C24" i="26"/>
  <c r="B24" i="26" s="1"/>
  <c r="EG23" i="26"/>
  <c r="BJ23" i="26"/>
  <c r="BD23" i="26" s="1"/>
  <c r="AV23" i="26"/>
  <c r="AR23" i="26" s="1"/>
  <c r="AK23" i="26"/>
  <c r="AG23" i="26" s="1"/>
  <c r="AF23" i="26" s="1"/>
  <c r="W23" i="26"/>
  <c r="M23" i="26"/>
  <c r="C23" i="26"/>
  <c r="EG22" i="26"/>
  <c r="BJ22" i="26"/>
  <c r="BD22" i="26" s="1"/>
  <c r="AY22" i="26"/>
  <c r="AM22" i="26"/>
  <c r="AG22" i="26"/>
  <c r="AC22" i="26"/>
  <c r="W22" i="26" s="1"/>
  <c r="Z22" i="26"/>
  <c r="R22" i="26"/>
  <c r="M22" i="26" s="1"/>
  <c r="L22" i="26" s="1"/>
  <c r="C22" i="26"/>
  <c r="B22" i="26"/>
  <c r="BH21" i="26"/>
  <c r="BE21" i="26"/>
  <c r="BD21" i="26"/>
  <c r="AS21" i="26"/>
  <c r="AR21" i="26" s="1"/>
  <c r="AG21" i="26"/>
  <c r="AB21" i="26"/>
  <c r="W21" i="26"/>
  <c r="M21" i="26"/>
  <c r="L21" i="26" s="1"/>
  <c r="C21" i="26"/>
  <c r="B21" i="26" s="1"/>
  <c r="DF20" i="26"/>
  <c r="DE20" i="26"/>
  <c r="DD20" i="26"/>
  <c r="DC20" i="26"/>
  <c r="DB20" i="26"/>
  <c r="DA20" i="26"/>
  <c r="CU20" i="26"/>
  <c r="CT20" i="26"/>
  <c r="CR20" i="26"/>
  <c r="CQ20" i="26"/>
  <c r="CP20" i="26"/>
  <c r="CN20" i="26" s="1"/>
  <c r="CM39" i="26" s="1"/>
  <c r="BK20" i="26"/>
  <c r="BD20" i="26" s="1"/>
  <c r="AY20" i="26"/>
  <c r="AG20" i="26"/>
  <c r="W20" i="26"/>
  <c r="M20" i="26"/>
  <c r="C20" i="26"/>
  <c r="EF19" i="26"/>
  <c r="EE19" i="26"/>
  <c r="ED19" i="26"/>
  <c r="EE21" i="26" s="1"/>
  <c r="EC19" i="26"/>
  <c r="EB19" i="26"/>
  <c r="EA19" i="26"/>
  <c r="DY19" i="26" s="1"/>
  <c r="DZ19" i="26"/>
  <c r="DS19" i="26"/>
  <c r="DR19" i="26"/>
  <c r="DP19" i="26"/>
  <c r="DO19" i="26"/>
  <c r="DN19" i="26"/>
  <c r="DM19" i="26"/>
  <c r="CZ19" i="26"/>
  <c r="CN19" i="26"/>
  <c r="BD19" i="26"/>
  <c r="AX19" i="26"/>
  <c r="AR19" i="26"/>
  <c r="AQ19" i="26"/>
  <c r="AG19" i="26"/>
  <c r="W19" i="26"/>
  <c r="P19" i="26"/>
  <c r="C19" i="26"/>
  <c r="B19" i="26"/>
  <c r="DY18" i="26"/>
  <c r="DL18" i="26"/>
  <c r="CZ18" i="26"/>
  <c r="CN18" i="26"/>
  <c r="CM18" i="26"/>
  <c r="BW18" i="26"/>
  <c r="BV18" i="26"/>
  <c r="BT18" i="26"/>
  <c r="BS18" i="26"/>
  <c r="BR18" i="26"/>
  <c r="BJ18" i="26"/>
  <c r="BD18" i="26"/>
  <c r="AV18" i="26"/>
  <c r="AU18" i="26"/>
  <c r="AG18" i="26"/>
  <c r="AF18" i="26" s="1"/>
  <c r="W18" i="26"/>
  <c r="R18" i="26"/>
  <c r="M18" i="26"/>
  <c r="H18" i="26"/>
  <c r="C18" i="26"/>
  <c r="B18" i="26" s="1"/>
  <c r="DY17" i="26"/>
  <c r="DL17" i="26"/>
  <c r="DG17" i="26"/>
  <c r="CZ17" i="26"/>
  <c r="CU17" i="26"/>
  <c r="CN17" i="26" s="1"/>
  <c r="CM17" i="26" s="1"/>
  <c r="CI17" i="26"/>
  <c r="CH17" i="26"/>
  <c r="CF17" i="26"/>
  <c r="CE17" i="26"/>
  <c r="CD17" i="26"/>
  <c r="BT17" i="26"/>
  <c r="BS17" i="26"/>
  <c r="BQ17" i="26"/>
  <c r="BP17" i="26"/>
  <c r="BD17" i="26"/>
  <c r="AX17" i="26"/>
  <c r="AR17" i="26"/>
  <c r="AG17" i="26"/>
  <c r="W17" i="26"/>
  <c r="S17" i="26"/>
  <c r="M17" i="26"/>
  <c r="C17" i="26"/>
  <c r="EF16" i="26"/>
  <c r="DY16" i="26"/>
  <c r="DX16" i="26"/>
  <c r="DS16" i="26"/>
  <c r="DL16" i="26" s="1"/>
  <c r="CU16" i="26"/>
  <c r="CN16" i="26"/>
  <c r="CF16" i="26"/>
  <c r="CC16" i="26"/>
  <c r="BW16" i="26"/>
  <c r="BP16" i="26" s="1"/>
  <c r="BK16" i="26"/>
  <c r="AU16" i="26"/>
  <c r="AT16" i="26"/>
  <c r="AS16" i="26"/>
  <c r="AM16" i="26"/>
  <c r="AG16" i="26"/>
  <c r="AF16" i="26" s="1"/>
  <c r="W16" i="26"/>
  <c r="M16" i="26"/>
  <c r="L16" i="26" s="1"/>
  <c r="C16" i="26"/>
  <c r="EF15" i="26"/>
  <c r="DY15" i="26"/>
  <c r="DS15" i="26"/>
  <c r="DL15" i="26" s="1"/>
  <c r="DD15" i="26"/>
  <c r="DC15" i="26"/>
  <c r="CZ15" i="26" s="1"/>
  <c r="DA15" i="26"/>
  <c r="CR15" i="26"/>
  <c r="CO15" i="26"/>
  <c r="CN15" i="26" s="1"/>
  <c r="CM15" i="26" s="1"/>
  <c r="CI15" i="26"/>
  <c r="CB15" i="26"/>
  <c r="BW15" i="26"/>
  <c r="BP15" i="26"/>
  <c r="BJ15" i="26"/>
  <c r="BD15" i="26" s="1"/>
  <c r="AT15" i="26"/>
  <c r="AR15" i="26" s="1"/>
  <c r="AQ15" i="26" s="1"/>
  <c r="AG15" i="26"/>
  <c r="AF15" i="26" s="1"/>
  <c r="AB15" i="26"/>
  <c r="W15" i="26"/>
  <c r="M15" i="26"/>
  <c r="C15" i="26"/>
  <c r="EC14" i="26"/>
  <c r="EB14" i="26"/>
  <c r="DZ14" i="26"/>
  <c r="DP14" i="26"/>
  <c r="DO14" i="26"/>
  <c r="DM14" i="26"/>
  <c r="DL14" i="26" s="1"/>
  <c r="CT14" i="26"/>
  <c r="CH14" i="26"/>
  <c r="BV14" i="26"/>
  <c r="BK14" i="26"/>
  <c r="BD14" i="26" s="1"/>
  <c r="AR14" i="26"/>
  <c r="AG14" i="26"/>
  <c r="AF14" i="26" s="1"/>
  <c r="W14" i="26"/>
  <c r="R14" i="26"/>
  <c r="M14" i="26"/>
  <c r="H14" i="26"/>
  <c r="C14" i="26"/>
  <c r="B14" i="26" s="1"/>
  <c r="EF13" i="26"/>
  <c r="DY13" i="26"/>
  <c r="DX13" i="26" s="1"/>
  <c r="DS13" i="26"/>
  <c r="DL13" i="26" s="1"/>
  <c r="DG13" i="26"/>
  <c r="CZ13" i="26"/>
  <c r="CR13" i="26"/>
  <c r="CP13" i="26"/>
  <c r="CO13" i="26"/>
  <c r="CN13" i="26"/>
  <c r="CM13" i="26" s="1"/>
  <c r="CF13" i="26"/>
  <c r="CD13" i="26"/>
  <c r="CC13" i="26"/>
  <c r="CB13" i="26"/>
  <c r="BP13" i="26"/>
  <c r="BH13" i="26"/>
  <c r="BF13" i="26"/>
  <c r="BE13" i="26"/>
  <c r="BD13" i="26"/>
  <c r="AU13" i="26"/>
  <c r="AT13" i="26"/>
  <c r="AS13" i="26"/>
  <c r="AR13" i="26" s="1"/>
  <c r="AQ13" i="26"/>
  <c r="AG13" i="26"/>
  <c r="AB13" i="26"/>
  <c r="W13" i="26"/>
  <c r="S13" i="26"/>
  <c r="P13" i="26"/>
  <c r="O13" i="26"/>
  <c r="C13" i="26"/>
  <c r="B13" i="26"/>
  <c r="EC12" i="26"/>
  <c r="EB12" i="26"/>
  <c r="EA12" i="26"/>
  <c r="DZ12" i="26"/>
  <c r="DY12" i="26" s="1"/>
  <c r="DX12" i="26"/>
  <c r="DP12" i="26"/>
  <c r="DO12" i="26"/>
  <c r="DN12" i="26"/>
  <c r="DL12" i="26" s="1"/>
  <c r="DM12" i="26"/>
  <c r="DD12" i="26"/>
  <c r="DC12" i="26"/>
  <c r="CZ12" i="26" s="1"/>
  <c r="DB12" i="26"/>
  <c r="DA12" i="26"/>
  <c r="CU12" i="26"/>
  <c r="CN12" i="26" s="1"/>
  <c r="CM12" i="26" s="1"/>
  <c r="CH12" i="26"/>
  <c r="CF12" i="26"/>
  <c r="CB12" i="26" s="1"/>
  <c r="CC12" i="26"/>
  <c r="BT12" i="26"/>
  <c r="BS12" i="26"/>
  <c r="BR12" i="26"/>
  <c r="BQ12" i="26"/>
  <c r="BH12" i="26"/>
  <c r="AU12" i="26"/>
  <c r="AR12" i="26" s="1"/>
  <c r="AQ12" i="26" s="1"/>
  <c r="AM12" i="26"/>
  <c r="AG12" i="26"/>
  <c r="AF12" i="26" s="1"/>
  <c r="W12" i="26"/>
  <c r="M12" i="26"/>
  <c r="D12" i="26"/>
  <c r="C12" i="26" s="1"/>
  <c r="B12" i="26" s="1"/>
  <c r="EF11" i="26"/>
  <c r="DY11" i="26"/>
  <c r="DX11" i="26" s="1"/>
  <c r="DS11" i="26"/>
  <c r="DL11" i="26"/>
  <c r="DG11" i="26"/>
  <c r="CZ11" i="26"/>
  <c r="CU11" i="26"/>
  <c r="CN11" i="26"/>
  <c r="CM11" i="26"/>
  <c r="CI11" i="26"/>
  <c r="CB11" i="26"/>
  <c r="BV11" i="26"/>
  <c r="BT11" i="26"/>
  <c r="BS11" i="26"/>
  <c r="BQ11" i="26"/>
  <c r="BP11" i="26" s="1"/>
  <c r="BD11" i="26"/>
  <c r="AS11" i="26"/>
  <c r="AR11" i="26"/>
  <c r="AQ11" i="26" s="1"/>
  <c r="AH11" i="26"/>
  <c r="AG11" i="26" s="1"/>
  <c r="AF11" i="26" s="1"/>
  <c r="X11" i="26"/>
  <c r="W11" i="26"/>
  <c r="S11" i="26"/>
  <c r="R11" i="26"/>
  <c r="M11" i="26" s="1"/>
  <c r="L11" i="26" s="1"/>
  <c r="C11" i="26"/>
  <c r="B11" i="26" s="1"/>
  <c r="EE10" i="26"/>
  <c r="EC10" i="26"/>
  <c r="EB10" i="26"/>
  <c r="DZ10" i="26"/>
  <c r="DR10" i="26"/>
  <c r="DP10" i="26"/>
  <c r="DO10" i="26"/>
  <c r="DM10" i="26"/>
  <c r="DF10" i="26"/>
  <c r="DD10" i="26"/>
  <c r="DC10" i="26"/>
  <c r="DA10" i="26"/>
  <c r="CT10" i="26"/>
  <c r="CR10" i="26"/>
  <c r="CO10" i="26"/>
  <c r="CI10" i="26"/>
  <c r="CB10" i="26"/>
  <c r="BV10" i="26"/>
  <c r="BJ10" i="26"/>
  <c r="BD10" i="26" s="1"/>
  <c r="AX10" i="26"/>
  <c r="AR10" i="26"/>
  <c r="AQ10" i="26" s="1"/>
  <c r="AN10" i="26"/>
  <c r="AK10" i="26"/>
  <c r="AH10" i="26"/>
  <c r="X10" i="26"/>
  <c r="W10" i="26"/>
  <c r="M10" i="26"/>
  <c r="L10" i="26"/>
  <c r="I10" i="26"/>
  <c r="F10" i="26"/>
  <c r="E10" i="26"/>
  <c r="DY9" i="26"/>
  <c r="DX9" i="26"/>
  <c r="DL9" i="26"/>
  <c r="CZ9" i="26"/>
  <c r="CN9" i="26"/>
  <c r="CM9" i="26" s="1"/>
  <c r="CF9" i="26"/>
  <c r="CD9" i="26"/>
  <c r="CC9" i="26"/>
  <c r="BT9" i="26"/>
  <c r="BS9" i="26"/>
  <c r="BR9" i="26"/>
  <c r="BQ9" i="26"/>
  <c r="BP9" i="26"/>
  <c r="BH9" i="26"/>
  <c r="BF9" i="26"/>
  <c r="BE9" i="26"/>
  <c r="BD9" i="26"/>
  <c r="AR9" i="26"/>
  <c r="AQ9" i="26"/>
  <c r="AG9" i="26"/>
  <c r="AF9" i="26" s="1"/>
  <c r="W9" i="26"/>
  <c r="N9" i="26"/>
  <c r="M9" i="26" s="1"/>
  <c r="L9" i="26" s="1"/>
  <c r="H9" i="26"/>
  <c r="C9" i="26"/>
  <c r="B9" i="26"/>
  <c r="EC8" i="26"/>
  <c r="EB8" i="26"/>
  <c r="EA8" i="26"/>
  <c r="DZ8" i="26"/>
  <c r="DY8" i="26" s="1"/>
  <c r="DX8" i="26" s="1"/>
  <c r="DP8" i="26"/>
  <c r="DO8" i="26"/>
  <c r="DN8" i="26"/>
  <c r="DM8" i="26"/>
  <c r="DD8" i="26"/>
  <c r="DC8" i="26"/>
  <c r="DB8" i="26"/>
  <c r="DA8" i="26"/>
  <c r="CZ8" i="26" s="1"/>
  <c r="CR8" i="26"/>
  <c r="CP8" i="26"/>
  <c r="CO8" i="26"/>
  <c r="CN8" i="26" s="1"/>
  <c r="CM8" i="26"/>
  <c r="CH8" i="26"/>
  <c r="BK8" i="26"/>
  <c r="AY8" i="26"/>
  <c r="AH8" i="26"/>
  <c r="AG8" i="26" s="1"/>
  <c r="AF8" i="26" s="1"/>
  <c r="AC8" i="26"/>
  <c r="Y8" i="26"/>
  <c r="N8" i="26"/>
  <c r="M8" i="26"/>
  <c r="L8" i="26" s="1"/>
  <c r="D8" i="26"/>
  <c r="C8" i="26"/>
  <c r="B8" i="26"/>
  <c r="EE7" i="26"/>
  <c r="DR7" i="26"/>
  <c r="DF7" i="26"/>
  <c r="CT7" i="26"/>
  <c r="CB7" i="26"/>
  <c r="BD7" i="26"/>
  <c r="AX7" i="26"/>
  <c r="AG7" i="26"/>
  <c r="AF7" i="26" s="1"/>
  <c r="AB7" i="26"/>
  <c r="W7" i="26"/>
  <c r="R7" i="26"/>
  <c r="M7" i="26" s="1"/>
  <c r="L7" i="26"/>
  <c r="H7" i="26"/>
  <c r="C7" i="26" s="1"/>
  <c r="B7" i="26" s="1"/>
  <c r="EF6" i="26"/>
  <c r="EC6" i="26"/>
  <c r="EB6" i="26"/>
  <c r="EA6" i="26"/>
  <c r="DZ6" i="26"/>
  <c r="DS6" i="26"/>
  <c r="DP6" i="26"/>
  <c r="DO6" i="26"/>
  <c r="DN6" i="26"/>
  <c r="DM6" i="26"/>
  <c r="DG6" i="26"/>
  <c r="DD6" i="26"/>
  <c r="DB6" i="26"/>
  <c r="DA6" i="26"/>
  <c r="CU6" i="26"/>
  <c r="CR6" i="26"/>
  <c r="CP6" i="26"/>
  <c r="CO6" i="26"/>
  <c r="CI6" i="26"/>
  <c r="CF6" i="26"/>
  <c r="CD6" i="26"/>
  <c r="CC6" i="26"/>
  <c r="BW6" i="26"/>
  <c r="BS6" i="26"/>
  <c r="BR6" i="26"/>
  <c r="BQ6" i="26"/>
  <c r="BJ6" i="26"/>
  <c r="BH6" i="26"/>
  <c r="BE6" i="26"/>
  <c r="AS6" i="26"/>
  <c r="AR6" i="26"/>
  <c r="AQ6" i="26" s="1"/>
  <c r="AN6" i="26"/>
  <c r="W6" i="26"/>
  <c r="M6" i="26"/>
  <c r="L6" i="26" s="1"/>
  <c r="C6" i="26"/>
  <c r="B6" i="26"/>
  <c r="EE5" i="26"/>
  <c r="EC5" i="26"/>
  <c r="EB5" i="26"/>
  <c r="DZ5" i="26"/>
  <c r="DR5" i="26"/>
  <c r="DP5" i="26"/>
  <c r="DO5" i="26"/>
  <c r="DM5" i="26"/>
  <c r="DF5" i="26"/>
  <c r="DD5" i="26"/>
  <c r="DC5" i="26"/>
  <c r="DA5" i="26"/>
  <c r="CT5" i="26"/>
  <c r="CR5" i="26"/>
  <c r="CP5" i="26"/>
  <c r="CO5" i="26"/>
  <c r="CH5" i="26"/>
  <c r="CF5" i="26"/>
  <c r="BV5" i="26"/>
  <c r="BT5" i="26"/>
  <c r="BS5" i="26"/>
  <c r="BQ5" i="26"/>
  <c r="BK5" i="26"/>
  <c r="BH5" i="26"/>
  <c r="BE5" i="26"/>
  <c r="AY5" i="26"/>
  <c r="AV5" i="26"/>
  <c r="AU5" i="26"/>
  <c r="AS5" i="26"/>
  <c r="AJ5" i="26"/>
  <c r="AG5" i="26" s="1"/>
  <c r="AF5" i="26" s="1"/>
  <c r="AH5" i="26"/>
  <c r="X5" i="26"/>
  <c r="W5" i="26" s="1"/>
  <c r="M5" i="26"/>
  <c r="L5" i="26" s="1"/>
  <c r="C5" i="26"/>
  <c r="B5" i="26"/>
  <c r="EC4" i="26"/>
  <c r="EB4" i="26"/>
  <c r="EA4" i="26"/>
  <c r="DZ4" i="26"/>
  <c r="DY4" i="26"/>
  <c r="DX4" i="26" s="1"/>
  <c r="DP4" i="26"/>
  <c r="DO4" i="26"/>
  <c r="DN4" i="26"/>
  <c r="DM4" i="26"/>
  <c r="DL4" i="26" s="1"/>
  <c r="DD4" i="26"/>
  <c r="DC4" i="26"/>
  <c r="DB4" i="26"/>
  <c r="DA4" i="26"/>
  <c r="CR4" i="26"/>
  <c r="CQ4" i="26"/>
  <c r="CP4" i="26"/>
  <c r="CN4" i="26" s="1"/>
  <c r="CM4" i="26" s="1"/>
  <c r="CF4" i="26"/>
  <c r="CE4" i="26"/>
  <c r="CD4" i="26"/>
  <c r="CC4" i="26"/>
  <c r="CB4" i="26" s="1"/>
  <c r="BT4" i="26"/>
  <c r="BP4" i="26" s="1"/>
  <c r="BS4" i="26"/>
  <c r="BR4" i="26"/>
  <c r="BQ4" i="26"/>
  <c r="BK4" i="26"/>
  <c r="BH4" i="26"/>
  <c r="BF4" i="26"/>
  <c r="AY4" i="26"/>
  <c r="AX4" i="26"/>
  <c r="AV4" i="26"/>
  <c r="AU4" i="26"/>
  <c r="AR4" i="26" s="1"/>
  <c r="AQ4" i="26" s="1"/>
  <c r="AT4" i="26"/>
  <c r="AN4" i="26"/>
  <c r="AK4" i="26"/>
  <c r="AI4" i="26"/>
  <c r="AC4" i="26"/>
  <c r="S4" i="26"/>
  <c r="I4" i="26"/>
  <c r="EF3" i="26"/>
  <c r="EE3" i="26"/>
  <c r="EC3" i="26"/>
  <c r="EB3" i="26"/>
  <c r="EA3" i="26"/>
  <c r="DZ3" i="26"/>
  <c r="DS3" i="26"/>
  <c r="DR3" i="26"/>
  <c r="DP3" i="26"/>
  <c r="DO3" i="26"/>
  <c r="DN3" i="26"/>
  <c r="DM3" i="26"/>
  <c r="DF3" i="26"/>
  <c r="DD3" i="26"/>
  <c r="DC3" i="26"/>
  <c r="DB3" i="26"/>
  <c r="DA3" i="26"/>
  <c r="CT3" i="26"/>
  <c r="CR3" i="26"/>
  <c r="CQ3" i="26"/>
  <c r="CP3" i="26"/>
  <c r="CO3" i="26"/>
  <c r="CH3" i="26"/>
  <c r="CF3" i="26"/>
  <c r="CD3" i="26"/>
  <c r="BW3" i="26"/>
  <c r="BV3" i="26"/>
  <c r="BT3" i="26"/>
  <c r="BR3" i="26"/>
  <c r="BQ3" i="26"/>
  <c r="BG3" i="26"/>
  <c r="BF3" i="26"/>
  <c r="BE3" i="26"/>
  <c r="BD3" i="26" s="1"/>
  <c r="AU3" i="26"/>
  <c r="AT3" i="26"/>
  <c r="AS3" i="26"/>
  <c r="AR3" i="26" s="1"/>
  <c r="AQ3" i="26" s="1"/>
  <c r="AG3" i="26"/>
  <c r="AF3" i="26" s="1"/>
  <c r="W3" i="26"/>
  <c r="M3" i="26"/>
  <c r="L3" i="26" s="1"/>
  <c r="C3" i="26"/>
  <c r="B3" i="26"/>
  <c r="EE2" i="26"/>
  <c r="EB2" i="26"/>
  <c r="EA2" i="26"/>
  <c r="DQ2" i="26"/>
  <c r="DP2" i="26"/>
  <c r="DO2" i="26"/>
  <c r="DN2" i="26"/>
  <c r="DM2" i="26"/>
  <c r="DF2" i="26"/>
  <c r="DE2" i="26"/>
  <c r="DD2" i="26"/>
  <c r="DC2" i="26"/>
  <c r="DB2" i="26"/>
  <c r="DA2" i="26"/>
  <c r="CZ2" i="26" s="1"/>
  <c r="CT2" i="26"/>
  <c r="CS2" i="26"/>
  <c r="CR2" i="26"/>
  <c r="CQ2" i="26"/>
  <c r="CP2" i="26"/>
  <c r="CO2" i="26"/>
  <c r="CN2" i="26" s="1"/>
  <c r="CM2" i="26"/>
  <c r="CG2" i="26"/>
  <c r="CF2" i="26"/>
  <c r="CE2" i="26"/>
  <c r="CD2" i="26"/>
  <c r="CC2" i="26"/>
  <c r="BU2" i="26"/>
  <c r="BT2" i="26"/>
  <c r="BS2" i="26"/>
  <c r="BR2" i="26"/>
  <c r="BQ2" i="26"/>
  <c r="BH2" i="26"/>
  <c r="BG2" i="26"/>
  <c r="BF2" i="26"/>
  <c r="BE2" i="26"/>
  <c r="AX2" i="26"/>
  <c r="AV2" i="26"/>
  <c r="AU2" i="26"/>
  <c r="AT2" i="26"/>
  <c r="AS2" i="26"/>
  <c r="AR2" i="26" s="1"/>
  <c r="AQ2" i="26" s="1"/>
  <c r="AJ2" i="26"/>
  <c r="AI2" i="26"/>
  <c r="AH2" i="26"/>
  <c r="AG2" i="26" s="1"/>
  <c r="AF2" i="26" s="1"/>
  <c r="Y2" i="26"/>
  <c r="W2" i="26" s="1"/>
  <c r="X2" i="26"/>
  <c r="O2" i="26"/>
  <c r="N2" i="26"/>
  <c r="M2" i="26" s="1"/>
  <c r="L2" i="26" s="1"/>
  <c r="E2" i="26"/>
  <c r="C2" i="26" s="1"/>
  <c r="B2" i="26" s="1"/>
  <c r="D2" i="26"/>
  <c r="D20" i="25"/>
  <c r="C20" i="25"/>
  <c r="B20" i="25"/>
  <c r="D19" i="25"/>
  <c r="C19" i="25"/>
  <c r="B19" i="25"/>
  <c r="K47" i="24"/>
  <c r="K32" i="24"/>
  <c r="K21" i="24"/>
  <c r="K9" i="24"/>
  <c r="K14" i="23"/>
  <c r="K51" i="30" s="1"/>
  <c r="J14" i="23"/>
  <c r="J51" i="30" s="1"/>
  <c r="I14" i="23"/>
  <c r="I51" i="30" s="1"/>
  <c r="H14" i="23"/>
  <c r="H51" i="30" s="1"/>
  <c r="G14" i="23"/>
  <c r="G51" i="30" s="1"/>
  <c r="F14" i="23"/>
  <c r="F51" i="30" s="1"/>
  <c r="E14" i="23"/>
  <c r="E51" i="30" s="1"/>
  <c r="D14" i="23"/>
  <c r="D51" i="30" s="1"/>
  <c r="C14" i="23"/>
  <c r="C51" i="30" s="1"/>
  <c r="B14" i="23"/>
  <c r="B51" i="30" s="1"/>
  <c r="K13" i="23"/>
  <c r="K50" i="30" s="1"/>
  <c r="J13" i="23"/>
  <c r="J50" i="30" s="1"/>
  <c r="I13" i="23"/>
  <c r="I50" i="30" s="1"/>
  <c r="H13" i="23"/>
  <c r="H50" i="30" s="1"/>
  <c r="G13" i="23"/>
  <c r="G50" i="30" s="1"/>
  <c r="F13" i="23"/>
  <c r="F50" i="30" s="1"/>
  <c r="E13" i="23"/>
  <c r="E50" i="30" s="1"/>
  <c r="D13" i="23"/>
  <c r="D50" i="30" s="1"/>
  <c r="C13" i="23"/>
  <c r="C50" i="30" s="1"/>
  <c r="B13" i="23"/>
  <c r="B50" i="30" s="1"/>
  <c r="M39" i="22"/>
  <c r="L39" i="22"/>
  <c r="J39" i="22"/>
  <c r="I39" i="22"/>
  <c r="H39" i="22"/>
  <c r="G39" i="22"/>
  <c r="F39" i="22"/>
  <c r="E39" i="22"/>
  <c r="D39" i="22"/>
  <c r="C39" i="22"/>
  <c r="B39" i="22"/>
  <c r="H35" i="22"/>
  <c r="G35" i="22"/>
  <c r="M34" i="22"/>
  <c r="L34" i="22"/>
  <c r="J34" i="22"/>
  <c r="I34" i="22"/>
  <c r="H34" i="22"/>
  <c r="H33" i="22"/>
  <c r="G33" i="22"/>
  <c r="M32" i="22"/>
  <c r="L32" i="22"/>
  <c r="J32" i="22"/>
  <c r="I32" i="22"/>
  <c r="H32" i="22"/>
  <c r="G32" i="22"/>
  <c r="M31" i="22"/>
  <c r="L31" i="22"/>
  <c r="J31" i="22"/>
  <c r="I31" i="22"/>
  <c r="H31" i="22"/>
  <c r="G31" i="22"/>
  <c r="M30" i="22"/>
  <c r="L30" i="22"/>
  <c r="J30" i="22"/>
  <c r="I30" i="22"/>
  <c r="H30" i="22"/>
  <c r="G30" i="22"/>
  <c r="M29" i="22"/>
  <c r="L29" i="22"/>
  <c r="J29" i="22"/>
  <c r="I29" i="22"/>
  <c r="H29" i="22"/>
  <c r="G29" i="22"/>
  <c r="M28" i="22"/>
  <c r="L28" i="22"/>
  <c r="J28" i="22"/>
  <c r="I28" i="22"/>
  <c r="H28" i="22"/>
  <c r="G28" i="22"/>
  <c r="M27" i="22"/>
  <c r="L27" i="22"/>
  <c r="J27" i="22"/>
  <c r="I27" i="22"/>
  <c r="H27" i="22"/>
  <c r="M26" i="22"/>
  <c r="L26" i="22"/>
  <c r="K26" i="22"/>
  <c r="J26" i="22"/>
  <c r="I26" i="22"/>
  <c r="H26" i="22"/>
  <c r="G26" i="22"/>
  <c r="M25" i="22"/>
  <c r="L25" i="22"/>
  <c r="J25" i="22"/>
  <c r="I25" i="22"/>
  <c r="H25" i="22"/>
  <c r="G25" i="22"/>
  <c r="M24" i="22"/>
  <c r="L24" i="22"/>
  <c r="J24" i="22"/>
  <c r="I24" i="22"/>
  <c r="H24" i="22"/>
  <c r="G24" i="22"/>
  <c r="M23" i="22"/>
  <c r="L23" i="22"/>
  <c r="J23" i="22"/>
  <c r="I23" i="22"/>
  <c r="H23" i="22"/>
  <c r="G23" i="22"/>
  <c r="M22" i="22"/>
  <c r="L22" i="22"/>
  <c r="I22" i="22"/>
  <c r="H22" i="22"/>
  <c r="G22" i="22"/>
  <c r="M21" i="22"/>
  <c r="L21" i="22"/>
  <c r="J21" i="22"/>
  <c r="I21" i="22"/>
  <c r="H21" i="22"/>
  <c r="G21" i="22"/>
  <c r="M20" i="22"/>
  <c r="L20" i="22"/>
  <c r="J20" i="22"/>
  <c r="I20" i="22"/>
  <c r="H20" i="22"/>
  <c r="G20" i="22"/>
  <c r="F20" i="22"/>
  <c r="E20" i="22"/>
  <c r="D20" i="22"/>
  <c r="C20" i="22"/>
  <c r="B20" i="22"/>
  <c r="M19" i="22"/>
  <c r="L19" i="22"/>
  <c r="J19" i="22"/>
  <c r="I19" i="22"/>
  <c r="H19" i="22"/>
  <c r="G19" i="22"/>
  <c r="M18" i="22"/>
  <c r="L18" i="22"/>
  <c r="J18" i="22"/>
  <c r="I18" i="22"/>
  <c r="H18" i="22"/>
  <c r="G18" i="22"/>
  <c r="F18" i="22"/>
  <c r="E18" i="22"/>
  <c r="D18" i="22"/>
  <c r="C18" i="22"/>
  <c r="B18" i="22"/>
  <c r="M17" i="22"/>
  <c r="L17" i="22"/>
  <c r="J17" i="22"/>
  <c r="I17" i="22"/>
  <c r="H17" i="22"/>
  <c r="G17" i="22"/>
  <c r="F17" i="22"/>
  <c r="E17" i="22"/>
  <c r="D17" i="22"/>
  <c r="C17" i="22"/>
  <c r="B17" i="22"/>
  <c r="M16" i="22"/>
  <c r="L16" i="22"/>
  <c r="J16" i="22"/>
  <c r="I16" i="22"/>
  <c r="H16" i="22"/>
  <c r="G16" i="22"/>
  <c r="F16" i="22"/>
  <c r="E16" i="22"/>
  <c r="D16" i="22"/>
  <c r="C16" i="22"/>
  <c r="B16" i="22"/>
  <c r="M15" i="22"/>
  <c r="L15" i="22"/>
  <c r="J15" i="22"/>
  <c r="I15" i="22"/>
  <c r="H15" i="22"/>
  <c r="G15" i="22"/>
  <c r="F15" i="22"/>
  <c r="E15" i="22"/>
  <c r="D15" i="22"/>
  <c r="C15" i="22"/>
  <c r="B15" i="22"/>
  <c r="M14" i="22"/>
  <c r="L14" i="22"/>
  <c r="J14" i="22"/>
  <c r="I14" i="22"/>
  <c r="H14" i="22"/>
  <c r="G14" i="22"/>
  <c r="F14" i="22"/>
  <c r="E14" i="22"/>
  <c r="M13" i="22"/>
  <c r="L13" i="22"/>
  <c r="J13" i="22"/>
  <c r="I13" i="22"/>
  <c r="H13" i="22"/>
  <c r="G13" i="22"/>
  <c r="F13" i="22"/>
  <c r="E13" i="22"/>
  <c r="D13" i="22"/>
  <c r="C13" i="22"/>
  <c r="B13" i="22"/>
  <c r="M12" i="22"/>
  <c r="L12" i="22"/>
  <c r="K12" i="22"/>
  <c r="J12" i="22"/>
  <c r="I12" i="22"/>
  <c r="H12" i="22"/>
  <c r="G12" i="22"/>
  <c r="F12" i="22"/>
  <c r="E12" i="22"/>
  <c r="D12" i="22"/>
  <c r="C12" i="22"/>
  <c r="B12" i="22"/>
  <c r="M11" i="22"/>
  <c r="L11" i="22"/>
  <c r="J11" i="22"/>
  <c r="I11" i="22"/>
  <c r="H11" i="22"/>
  <c r="G11" i="22"/>
  <c r="F11" i="22"/>
  <c r="E11" i="22"/>
  <c r="D11" i="22"/>
  <c r="C11" i="22"/>
  <c r="B11" i="22"/>
  <c r="M10" i="22"/>
  <c r="L10" i="22"/>
  <c r="J10" i="22"/>
  <c r="I10" i="22"/>
  <c r="H10" i="22"/>
  <c r="G10" i="22"/>
  <c r="F10" i="22"/>
  <c r="E10" i="22"/>
  <c r="D10" i="22"/>
  <c r="C10" i="22"/>
  <c r="B10" i="22"/>
  <c r="M9" i="22"/>
  <c r="L9" i="22"/>
  <c r="J9" i="22"/>
  <c r="I9" i="22"/>
  <c r="H9" i="22"/>
  <c r="G9" i="22"/>
  <c r="F9" i="22"/>
  <c r="E9" i="22"/>
  <c r="D9" i="22"/>
  <c r="C9" i="22"/>
  <c r="B9" i="22"/>
  <c r="M8" i="22"/>
  <c r="L8" i="22"/>
  <c r="J8" i="22"/>
  <c r="I8" i="22"/>
  <c r="H8" i="22"/>
  <c r="G8" i="22"/>
  <c r="F8" i="22"/>
  <c r="E8" i="22"/>
  <c r="D8" i="22"/>
  <c r="C8" i="22"/>
  <c r="B8" i="22"/>
  <c r="M7" i="22"/>
  <c r="L7" i="22"/>
  <c r="J7" i="22"/>
  <c r="I7" i="22"/>
  <c r="H7" i="22"/>
  <c r="G7" i="22"/>
  <c r="F7" i="22"/>
  <c r="E7" i="22"/>
  <c r="D7" i="22"/>
  <c r="C7" i="22"/>
  <c r="B7" i="22"/>
  <c r="E6" i="22"/>
  <c r="D6" i="22"/>
  <c r="C6" i="22"/>
  <c r="B6" i="22"/>
  <c r="M5" i="22"/>
  <c r="L5" i="22"/>
  <c r="J5" i="22"/>
  <c r="I5" i="22"/>
  <c r="H5" i="22"/>
  <c r="G5" i="22"/>
  <c r="F5" i="22"/>
  <c r="E5" i="22"/>
  <c r="D5" i="22"/>
  <c r="C5" i="22"/>
  <c r="B5" i="22"/>
  <c r="D4" i="22"/>
  <c r="C4" i="22"/>
  <c r="B4" i="22"/>
  <c r="M3" i="22"/>
  <c r="L3" i="22"/>
  <c r="L40" i="22" s="1"/>
  <c r="L12" i="30" s="1"/>
  <c r="L79" i="30" s="1"/>
  <c r="J3" i="22"/>
  <c r="I3" i="22"/>
  <c r="H3" i="22"/>
  <c r="H40" i="22" s="1"/>
  <c r="G3" i="22"/>
  <c r="G40" i="22" s="1"/>
  <c r="F3" i="22"/>
  <c r="E3" i="22"/>
  <c r="L40" i="21"/>
  <c r="K39" i="21"/>
  <c r="K10" i="22" s="1"/>
  <c r="J22" i="21"/>
  <c r="J22" i="22" s="1"/>
  <c r="M42" i="20"/>
  <c r="L42" i="20"/>
  <c r="K42" i="20"/>
  <c r="J42" i="20"/>
  <c r="I42" i="20"/>
  <c r="H42" i="20"/>
  <c r="G42" i="20"/>
  <c r="F42" i="20"/>
  <c r="E42" i="20"/>
  <c r="D42" i="20"/>
  <c r="C42" i="20"/>
  <c r="B42" i="20"/>
  <c r="B34" i="20"/>
  <c r="E33" i="20"/>
  <c r="F32" i="20"/>
  <c r="B31" i="20"/>
  <c r="D30" i="20"/>
  <c r="C30" i="20"/>
  <c r="B30" i="20"/>
  <c r="D29" i="20"/>
  <c r="C29" i="20"/>
  <c r="B29" i="20"/>
  <c r="B28" i="20"/>
  <c r="M27" i="20"/>
  <c r="L27" i="20"/>
  <c r="K27" i="20"/>
  <c r="M26" i="20"/>
  <c r="L26" i="20"/>
  <c r="K26" i="20"/>
  <c r="J26" i="20"/>
  <c r="I26" i="20"/>
  <c r="H26" i="20"/>
  <c r="G26" i="20"/>
  <c r="F26" i="20"/>
  <c r="E26" i="20"/>
  <c r="M25" i="20"/>
  <c r="L25" i="20"/>
  <c r="K25" i="20"/>
  <c r="J25" i="20"/>
  <c r="I25" i="20"/>
  <c r="H25" i="20"/>
  <c r="G25" i="20"/>
  <c r="F25" i="20"/>
  <c r="E25" i="20"/>
  <c r="D25" i="20"/>
  <c r="C25" i="20"/>
  <c r="B25" i="20"/>
  <c r="D24" i="20"/>
  <c r="C24" i="20"/>
  <c r="B24" i="20"/>
  <c r="E23" i="20"/>
  <c r="D23" i="20"/>
  <c r="C23" i="20"/>
  <c r="B23" i="20"/>
  <c r="L22" i="20"/>
  <c r="K22" i="20"/>
  <c r="J22" i="20"/>
  <c r="I22" i="20"/>
  <c r="H22" i="20"/>
  <c r="G22" i="20"/>
  <c r="F22" i="20"/>
  <c r="M21" i="20"/>
  <c r="L21" i="20"/>
  <c r="K21" i="20"/>
  <c r="J21" i="20"/>
  <c r="I21" i="20"/>
  <c r="H21" i="20"/>
  <c r="G21" i="20"/>
  <c r="F21" i="20"/>
  <c r="E21" i="20"/>
  <c r="D21" i="20"/>
  <c r="C21" i="20"/>
  <c r="B21" i="20"/>
  <c r="G20" i="20"/>
  <c r="F20" i="20"/>
  <c r="M19" i="20"/>
  <c r="L19" i="20"/>
  <c r="K19" i="20"/>
  <c r="J19" i="20"/>
  <c r="I19" i="20"/>
  <c r="H19" i="20"/>
  <c r="G19" i="20"/>
  <c r="M18" i="20"/>
  <c r="L18" i="20"/>
  <c r="K18" i="20"/>
  <c r="J18" i="20"/>
  <c r="I18" i="20"/>
  <c r="H18" i="20"/>
  <c r="G18" i="20"/>
  <c r="F18" i="20"/>
  <c r="E18" i="20"/>
  <c r="D18" i="20"/>
  <c r="C18" i="20"/>
  <c r="B18" i="20"/>
  <c r="M17" i="20"/>
  <c r="L17" i="20"/>
  <c r="K17" i="20"/>
  <c r="J17" i="20"/>
  <c r="I17" i="20"/>
  <c r="H17" i="20"/>
  <c r="G17" i="20"/>
  <c r="F17" i="20"/>
  <c r="E17" i="20"/>
  <c r="D17" i="20"/>
  <c r="C17" i="20"/>
  <c r="B17" i="20"/>
  <c r="M16" i="20"/>
  <c r="L16" i="20"/>
  <c r="K16" i="20"/>
  <c r="J16" i="20"/>
  <c r="I16" i="20"/>
  <c r="H16" i="20"/>
  <c r="G16" i="20"/>
  <c r="F16" i="20"/>
  <c r="G15" i="20"/>
  <c r="F15" i="20"/>
  <c r="I14" i="20"/>
  <c r="H14" i="20"/>
  <c r="M13" i="20"/>
  <c r="L13" i="20"/>
  <c r="K13" i="20"/>
  <c r="J13" i="20"/>
  <c r="F13" i="20"/>
  <c r="E13" i="20"/>
  <c r="D13" i="20"/>
  <c r="C13" i="20"/>
  <c r="B13" i="20"/>
  <c r="M12" i="20"/>
  <c r="L12" i="20"/>
  <c r="J12" i="20"/>
  <c r="I12" i="20"/>
  <c r="H12" i="20"/>
  <c r="G12" i="20"/>
  <c r="F12" i="20"/>
  <c r="E12" i="20"/>
  <c r="D12" i="20"/>
  <c r="C12" i="20"/>
  <c r="B12" i="20"/>
  <c r="E11" i="20"/>
  <c r="D11" i="20"/>
  <c r="D43" i="20" s="1"/>
  <c r="C11" i="20"/>
  <c r="C43" i="20" s="1"/>
  <c r="B11" i="20"/>
  <c r="F10" i="20"/>
  <c r="E10" i="20"/>
  <c r="D10" i="20"/>
  <c r="C10" i="20"/>
  <c r="G9" i="20"/>
  <c r="H8" i="20"/>
  <c r="G8" i="20"/>
  <c r="M7" i="20"/>
  <c r="L7" i="20"/>
  <c r="K7" i="20"/>
  <c r="J7" i="20"/>
  <c r="E6" i="20"/>
  <c r="D6" i="20"/>
  <c r="C6" i="20"/>
  <c r="B6" i="20"/>
  <c r="G5" i="20"/>
  <c r="F5" i="20"/>
  <c r="M4" i="20"/>
  <c r="L4" i="20"/>
  <c r="K4" i="20"/>
  <c r="J4" i="20"/>
  <c r="I4" i="20"/>
  <c r="H4" i="20"/>
  <c r="G4" i="20"/>
  <c r="F4" i="20"/>
  <c r="E4" i="20"/>
  <c r="D4" i="20"/>
  <c r="C4" i="20"/>
  <c r="C44" i="20" s="1"/>
  <c r="B4" i="20"/>
  <c r="M3" i="20"/>
  <c r="L3" i="20"/>
  <c r="L43" i="20" s="1"/>
  <c r="K3" i="20"/>
  <c r="J3" i="20"/>
  <c r="I3" i="20"/>
  <c r="I43" i="20" s="1"/>
  <c r="H3" i="20"/>
  <c r="H44" i="20" s="1"/>
  <c r="G3" i="20"/>
  <c r="G44" i="20" s="1"/>
  <c r="F3" i="20"/>
  <c r="F44" i="20" s="1"/>
  <c r="E3" i="20"/>
  <c r="D3" i="20"/>
  <c r="D44" i="20" s="1"/>
  <c r="C3" i="20"/>
  <c r="B3" i="20"/>
  <c r="B43" i="20" s="1"/>
  <c r="K12" i="19"/>
  <c r="DG16" i="26" s="1"/>
  <c r="CZ16" i="26" s="1"/>
  <c r="L14" i="18"/>
  <c r="L13" i="18"/>
  <c r="L12" i="18"/>
  <c r="L11" i="18"/>
  <c r="L10" i="18"/>
  <c r="L9" i="18"/>
  <c r="L8" i="18"/>
  <c r="Y7" i="18"/>
  <c r="Q7" i="18"/>
  <c r="D7" i="18"/>
  <c r="C7" i="18"/>
  <c r="Y6" i="18"/>
  <c r="Q6" i="18"/>
  <c r="D6" i="18"/>
  <c r="C6" i="18"/>
  <c r="Y5" i="18"/>
  <c r="N5" i="18"/>
  <c r="Q5" i="18" s="1"/>
  <c r="D5" i="18"/>
  <c r="C5" i="18"/>
  <c r="Y4" i="18"/>
  <c r="N4" i="18"/>
  <c r="Q4" i="18" s="1"/>
  <c r="D4" i="18"/>
  <c r="C4" i="18"/>
  <c r="Y3" i="18"/>
  <c r="V3" i="18"/>
  <c r="N3" i="18"/>
  <c r="Q3" i="18" s="1"/>
  <c r="D3" i="18"/>
  <c r="C3" i="18"/>
  <c r="G31" i="17"/>
  <c r="M30" i="17"/>
  <c r="L30" i="17"/>
  <c r="K30" i="17"/>
  <c r="J30" i="17"/>
  <c r="I30" i="17"/>
  <c r="H30" i="17"/>
  <c r="G30" i="17"/>
  <c r="F30" i="17"/>
  <c r="E30" i="17"/>
  <c r="D30" i="17"/>
  <c r="C30" i="17"/>
  <c r="B30" i="17"/>
  <c r="M26" i="17"/>
  <c r="L26" i="17"/>
  <c r="K26" i="17"/>
  <c r="J26" i="17"/>
  <c r="I26" i="17"/>
  <c r="H26" i="17"/>
  <c r="G26" i="17"/>
  <c r="F26" i="17"/>
  <c r="E26" i="17"/>
  <c r="D26" i="17"/>
  <c r="C26" i="17"/>
  <c r="B26" i="17"/>
  <c r="L25" i="17"/>
  <c r="K25" i="17"/>
  <c r="J25" i="17"/>
  <c r="I25" i="17"/>
  <c r="H25" i="17"/>
  <c r="G25" i="17"/>
  <c r="F25" i="17"/>
  <c r="E25" i="17"/>
  <c r="D25" i="17"/>
  <c r="C25" i="17"/>
  <c r="B25" i="17"/>
  <c r="L24" i="17"/>
  <c r="K24" i="17"/>
  <c r="J24" i="17"/>
  <c r="I24" i="17"/>
  <c r="H24" i="17"/>
  <c r="G24" i="17"/>
  <c r="F24" i="17"/>
  <c r="E24" i="17"/>
  <c r="D24" i="17"/>
  <c r="C24" i="17"/>
  <c r="B24" i="17"/>
  <c r="L23" i="17"/>
  <c r="K23" i="17"/>
  <c r="J23" i="17"/>
  <c r="I23" i="17"/>
  <c r="H23" i="17"/>
  <c r="G23" i="17"/>
  <c r="F23" i="17"/>
  <c r="E23" i="17"/>
  <c r="D23" i="17"/>
  <c r="C23" i="17"/>
  <c r="B23" i="17"/>
  <c r="M22" i="17"/>
  <c r="L22" i="17"/>
  <c r="K22" i="17"/>
  <c r="J22" i="17"/>
  <c r="I22" i="17"/>
  <c r="H22" i="17"/>
  <c r="G22" i="17"/>
  <c r="M21" i="17"/>
  <c r="L21" i="17"/>
  <c r="K21" i="17"/>
  <c r="J21" i="17"/>
  <c r="I21" i="17"/>
  <c r="H21" i="17"/>
  <c r="D20" i="17"/>
  <c r="C20" i="17"/>
  <c r="B20" i="17"/>
  <c r="M19" i="17"/>
  <c r="L19" i="17"/>
  <c r="K19" i="17"/>
  <c r="J19" i="17"/>
  <c r="I19" i="17"/>
  <c r="H19" i="17"/>
  <c r="G19" i="17"/>
  <c r="F19" i="17"/>
  <c r="E19" i="17"/>
  <c r="D19" i="17"/>
  <c r="C19" i="17"/>
  <c r="E18" i="17"/>
  <c r="D18" i="17"/>
  <c r="C18" i="17"/>
  <c r="B18" i="17"/>
  <c r="F17" i="17"/>
  <c r="E17" i="17"/>
  <c r="D17" i="17"/>
  <c r="C17" i="17"/>
  <c r="B17" i="17"/>
  <c r="M16" i="17"/>
  <c r="L16" i="17"/>
  <c r="K16" i="17"/>
  <c r="J16" i="17"/>
  <c r="I16" i="17"/>
  <c r="H16" i="17"/>
  <c r="G16" i="17"/>
  <c r="F16" i="17"/>
  <c r="E16" i="17"/>
  <c r="D16" i="17"/>
  <c r="C16" i="17"/>
  <c r="B16" i="17"/>
  <c r="C15" i="17"/>
  <c r="B15" i="17"/>
  <c r="B31" i="17" s="1"/>
  <c r="B10" i="30" s="1"/>
  <c r="B77" i="30" s="1"/>
  <c r="D14" i="17"/>
  <c r="C14" i="17"/>
  <c r="B14" i="17"/>
  <c r="M13" i="17"/>
  <c r="L13" i="17"/>
  <c r="K13" i="17"/>
  <c r="J13" i="17"/>
  <c r="I13" i="17"/>
  <c r="H13" i="17"/>
  <c r="G13" i="17"/>
  <c r="F13" i="17"/>
  <c r="E13" i="17"/>
  <c r="D13" i="17"/>
  <c r="C13" i="17"/>
  <c r="B13" i="17"/>
  <c r="M12" i="17"/>
  <c r="L12" i="17"/>
  <c r="K12" i="17"/>
  <c r="J12" i="17"/>
  <c r="I12" i="17"/>
  <c r="H12" i="17"/>
  <c r="H31" i="17" s="1"/>
  <c r="H10" i="30" s="1"/>
  <c r="H77" i="30" s="1"/>
  <c r="G12" i="17"/>
  <c r="F12" i="17"/>
  <c r="F31" i="17" s="1"/>
  <c r="E12" i="17"/>
  <c r="E31" i="17" s="1"/>
  <c r="E10" i="30" s="1"/>
  <c r="E77" i="30" s="1"/>
  <c r="D12" i="17"/>
  <c r="C12" i="17"/>
  <c r="B12" i="17"/>
  <c r="G11" i="17"/>
  <c r="F11" i="17"/>
  <c r="E11" i="17"/>
  <c r="D11" i="17"/>
  <c r="D31" i="17" s="1"/>
  <c r="C11" i="17"/>
  <c r="B11" i="17"/>
  <c r="I9" i="17"/>
  <c r="H9" i="17"/>
  <c r="E8" i="17"/>
  <c r="D8" i="17"/>
  <c r="C8" i="17"/>
  <c r="B8" i="17"/>
  <c r="E7" i="17"/>
  <c r="D7" i="17"/>
  <c r="C7" i="17"/>
  <c r="B7" i="17"/>
  <c r="F6" i="17"/>
  <c r="E6" i="17"/>
  <c r="D6" i="17"/>
  <c r="C6" i="17"/>
  <c r="B6" i="17"/>
  <c r="G5" i="17"/>
  <c r="F5" i="17"/>
  <c r="E5" i="17"/>
  <c r="D5" i="17"/>
  <c r="C5" i="17"/>
  <c r="C32" i="17" s="1"/>
  <c r="B5" i="17"/>
  <c r="J4" i="17"/>
  <c r="J31" i="17" s="1"/>
  <c r="J10" i="30" s="1"/>
  <c r="J77" i="30" s="1"/>
  <c r="I4" i="17"/>
  <c r="H4" i="17"/>
  <c r="G4" i="17"/>
  <c r="F4" i="17"/>
  <c r="M3" i="17"/>
  <c r="K3" i="17"/>
  <c r="J3" i="17"/>
  <c r="M25" i="16"/>
  <c r="M25" i="17" s="1"/>
  <c r="M24" i="16"/>
  <c r="M24" i="17" s="1"/>
  <c r="M23" i="16"/>
  <c r="M23" i="17" s="1"/>
  <c r="M22" i="16"/>
  <c r="K4" i="16"/>
  <c r="DF14" i="26" s="1"/>
  <c r="L3" i="16"/>
  <c r="DR2" i="26" s="1"/>
  <c r="O48" i="15"/>
  <c r="M48" i="15"/>
  <c r="L48" i="15"/>
  <c r="K48" i="15"/>
  <c r="J48" i="15"/>
  <c r="I48" i="15"/>
  <c r="H48" i="15"/>
  <c r="G48" i="15"/>
  <c r="F48" i="15"/>
  <c r="E48" i="15"/>
  <c r="D48" i="15"/>
  <c r="C48" i="15"/>
  <c r="B48" i="15"/>
  <c r="O47" i="15"/>
  <c r="N47" i="15"/>
  <c r="M47" i="15"/>
  <c r="L47" i="15"/>
  <c r="K47" i="15"/>
  <c r="J47" i="15"/>
  <c r="I47" i="15"/>
  <c r="H47" i="15"/>
  <c r="G47" i="15"/>
  <c r="F47" i="15"/>
  <c r="E47" i="15"/>
  <c r="D47" i="15"/>
  <c r="C47" i="15"/>
  <c r="B47" i="15"/>
  <c r="M46" i="15"/>
  <c r="K46" i="15"/>
  <c r="J46" i="15"/>
  <c r="H46" i="15"/>
  <c r="E46" i="15"/>
  <c r="C46" i="15"/>
  <c r="K43" i="15"/>
  <c r="E41" i="15"/>
  <c r="L40" i="15"/>
  <c r="I40" i="15"/>
  <c r="G40" i="15"/>
  <c r="F39" i="15"/>
  <c r="E39" i="15"/>
  <c r="D39" i="15"/>
  <c r="C39" i="15"/>
  <c r="K38" i="15"/>
  <c r="H38" i="15"/>
  <c r="F38" i="15"/>
  <c r="C38" i="15"/>
  <c r="M37" i="15"/>
  <c r="K37" i="15"/>
  <c r="M36" i="15"/>
  <c r="J36" i="15"/>
  <c r="H36" i="15"/>
  <c r="E36" i="15"/>
  <c r="B36" i="15"/>
  <c r="K35" i="15"/>
  <c r="H35" i="15"/>
  <c r="F35" i="15"/>
  <c r="M34" i="15"/>
  <c r="O33" i="15"/>
  <c r="M33" i="15"/>
  <c r="J33" i="15"/>
  <c r="B31" i="15"/>
  <c r="C30" i="15"/>
  <c r="O29" i="15"/>
  <c r="I29" i="15"/>
  <c r="C28" i="15"/>
  <c r="B28" i="15"/>
  <c r="E27" i="15"/>
  <c r="B27" i="15"/>
  <c r="K26" i="15"/>
  <c r="H26" i="15"/>
  <c r="F26" i="15"/>
  <c r="D25" i="15"/>
  <c r="G21" i="15"/>
  <c r="J19" i="15"/>
  <c r="C14" i="15"/>
  <c r="D9" i="15"/>
  <c r="E7" i="15"/>
  <c r="H6" i="15"/>
  <c r="M3" i="15"/>
  <c r="L3" i="15"/>
  <c r="K3" i="15"/>
  <c r="J3" i="15"/>
  <c r="P48" i="14"/>
  <c r="O46" i="14"/>
  <c r="O46" i="15" s="1"/>
  <c r="N46" i="14"/>
  <c r="N46" i="15" s="1"/>
  <c r="M46" i="14"/>
  <c r="L46" i="14"/>
  <c r="L46" i="15" s="1"/>
  <c r="K46" i="14"/>
  <c r="J46" i="14"/>
  <c r="I46" i="14"/>
  <c r="I46" i="15" s="1"/>
  <c r="H46" i="14"/>
  <c r="G46" i="14"/>
  <c r="G46" i="15" s="1"/>
  <c r="F46" i="14"/>
  <c r="F46" i="15" s="1"/>
  <c r="E46" i="14"/>
  <c r="D46" i="14"/>
  <c r="D46" i="15" s="1"/>
  <c r="C46" i="14"/>
  <c r="B46" i="14"/>
  <c r="B46" i="15" s="1"/>
  <c r="N43" i="14"/>
  <c r="L43" i="14"/>
  <c r="L43" i="15" s="1"/>
  <c r="K43" i="14"/>
  <c r="J43" i="14"/>
  <c r="J43" i="15" s="1"/>
  <c r="I43" i="14"/>
  <c r="I43" i="15" s="1"/>
  <c r="O42" i="14"/>
  <c r="O42" i="15" s="1"/>
  <c r="N42" i="14"/>
  <c r="F41" i="14"/>
  <c r="F41" i="15" s="1"/>
  <c r="E41" i="14"/>
  <c r="D41" i="14"/>
  <c r="D41" i="15" s="1"/>
  <c r="C41" i="14"/>
  <c r="Q19" i="26" s="1"/>
  <c r="B41" i="14"/>
  <c r="B41" i="15" s="1"/>
  <c r="O40" i="14"/>
  <c r="N40" i="14"/>
  <c r="M40" i="14"/>
  <c r="DE10" i="26" s="1"/>
  <c r="L40" i="14"/>
  <c r="CS10" i="26" s="1"/>
  <c r="J40" i="14"/>
  <c r="BU11" i="26" s="1"/>
  <c r="I40" i="14"/>
  <c r="BI12" i="26" s="1"/>
  <c r="BD12" i="26" s="1"/>
  <c r="H40" i="14"/>
  <c r="G40" i="14"/>
  <c r="I39" i="14"/>
  <c r="H39" i="14"/>
  <c r="H39" i="15" s="1"/>
  <c r="G39" i="14"/>
  <c r="G39" i="15" s="1"/>
  <c r="O38" i="14"/>
  <c r="O38" i="15" s="1"/>
  <c r="N38" i="14"/>
  <c r="M38" i="14"/>
  <c r="M38" i="15" s="1"/>
  <c r="L38" i="14"/>
  <c r="L38" i="15" s="1"/>
  <c r="K38" i="14"/>
  <c r="J38" i="14"/>
  <c r="J38" i="15" s="1"/>
  <c r="I38" i="14"/>
  <c r="I38" i="15" s="1"/>
  <c r="H38" i="14"/>
  <c r="G38" i="14"/>
  <c r="G38" i="15" s="1"/>
  <c r="F38" i="14"/>
  <c r="E38" i="14"/>
  <c r="E38" i="15" s="1"/>
  <c r="D38" i="14"/>
  <c r="D38" i="15" s="1"/>
  <c r="C38" i="14"/>
  <c r="O37" i="14"/>
  <c r="O37" i="15" s="1"/>
  <c r="N37" i="14"/>
  <c r="M37" i="14"/>
  <c r="L37" i="14"/>
  <c r="L37" i="15" s="1"/>
  <c r="K37" i="14"/>
  <c r="O36" i="14"/>
  <c r="O36" i="15" s="1"/>
  <c r="M36" i="14"/>
  <c r="L36" i="14"/>
  <c r="L36" i="15" s="1"/>
  <c r="K36" i="14"/>
  <c r="K36" i="15" s="1"/>
  <c r="J36" i="14"/>
  <c r="I36" i="14"/>
  <c r="I36" i="15" s="1"/>
  <c r="H36" i="14"/>
  <c r="G36" i="14"/>
  <c r="G36" i="15" s="1"/>
  <c r="F36" i="14"/>
  <c r="F36" i="15" s="1"/>
  <c r="E36" i="14"/>
  <c r="D36" i="14"/>
  <c r="D36" i="15" s="1"/>
  <c r="C36" i="14"/>
  <c r="C36" i="15" s="1"/>
  <c r="B36" i="14"/>
  <c r="O35" i="14"/>
  <c r="O35" i="15" s="1"/>
  <c r="N35" i="14"/>
  <c r="M35" i="14"/>
  <c r="M35" i="15" s="1"/>
  <c r="L35" i="14"/>
  <c r="L35" i="15" s="1"/>
  <c r="K35" i="14"/>
  <c r="J35" i="14"/>
  <c r="J35" i="15" s="1"/>
  <c r="I35" i="14"/>
  <c r="I35" i="15" s="1"/>
  <c r="H35" i="14"/>
  <c r="G35" i="14"/>
  <c r="G35" i="15" s="1"/>
  <c r="F35" i="14"/>
  <c r="E35" i="14"/>
  <c r="E35" i="15" s="1"/>
  <c r="D35" i="14"/>
  <c r="D35" i="15" s="1"/>
  <c r="N34" i="14"/>
  <c r="M34" i="14"/>
  <c r="O33" i="14"/>
  <c r="N33" i="14"/>
  <c r="M33" i="14"/>
  <c r="L33" i="14"/>
  <c r="L33" i="15" s="1"/>
  <c r="K33" i="14"/>
  <c r="K33" i="15" s="1"/>
  <c r="J33" i="14"/>
  <c r="C32" i="14"/>
  <c r="C32" i="15" s="1"/>
  <c r="B32" i="14"/>
  <c r="B32" i="15" s="1"/>
  <c r="B31" i="14"/>
  <c r="G30" i="14"/>
  <c r="G30" i="15" s="1"/>
  <c r="F30" i="14"/>
  <c r="F30" i="15" s="1"/>
  <c r="E30" i="14"/>
  <c r="E30" i="15" s="1"/>
  <c r="D30" i="14"/>
  <c r="D30" i="15" s="1"/>
  <c r="C30" i="14"/>
  <c r="B30" i="14"/>
  <c r="B30" i="15" s="1"/>
  <c r="O29" i="14"/>
  <c r="N29" i="14"/>
  <c r="DQ6" i="26" s="1"/>
  <c r="M29" i="14"/>
  <c r="L29" i="14"/>
  <c r="CS6" i="26" s="1"/>
  <c r="CN6" i="26" s="1"/>
  <c r="CM6" i="26" s="1"/>
  <c r="K29" i="14"/>
  <c r="CG6" i="26" s="1"/>
  <c r="CB6" i="26" s="1"/>
  <c r="J29" i="14"/>
  <c r="I29" i="14"/>
  <c r="BI6" i="26" s="1"/>
  <c r="BD6" i="26" s="1"/>
  <c r="H29" i="14"/>
  <c r="G29" i="14"/>
  <c r="G29" i="15" s="1"/>
  <c r="E27" i="14"/>
  <c r="D27" i="14"/>
  <c r="D27" i="15" s="1"/>
  <c r="C27" i="14"/>
  <c r="C27" i="15" s="1"/>
  <c r="B27" i="14"/>
  <c r="O26" i="14"/>
  <c r="N26" i="14"/>
  <c r="DQ3" i="26" s="1"/>
  <c r="M26" i="14"/>
  <c r="L26" i="14"/>
  <c r="K26" i="14"/>
  <c r="CG3" i="26" s="1"/>
  <c r="CB3" i="26" s="1"/>
  <c r="J26" i="14"/>
  <c r="I26" i="14"/>
  <c r="H26" i="14"/>
  <c r="AW4" i="26" s="1"/>
  <c r="G26" i="14"/>
  <c r="G26" i="15" s="1"/>
  <c r="F26" i="14"/>
  <c r="AL4" i="26" s="1"/>
  <c r="AG4" i="26" s="1"/>
  <c r="AF4" i="26" s="1"/>
  <c r="E26" i="14"/>
  <c r="C26" i="14"/>
  <c r="B26" i="14"/>
  <c r="O25" i="14"/>
  <c r="N25" i="14"/>
  <c r="DQ7" i="26" s="1"/>
  <c r="DL7" i="26" s="1"/>
  <c r="M25" i="14"/>
  <c r="L25" i="14"/>
  <c r="CS7" i="26" s="1"/>
  <c r="CN7" i="26" s="1"/>
  <c r="CM7" i="26" s="1"/>
  <c r="K25" i="14"/>
  <c r="K25" i="15" s="1"/>
  <c r="J25" i="14"/>
  <c r="I25" i="14"/>
  <c r="BI8" i="26" s="1"/>
  <c r="BD8" i="26" s="1"/>
  <c r="H25" i="14"/>
  <c r="G25" i="14"/>
  <c r="G25" i="15" s="1"/>
  <c r="F25" i="14"/>
  <c r="AL6" i="26" s="1"/>
  <c r="AG6" i="26" s="1"/>
  <c r="AF6" i="26" s="1"/>
  <c r="E25" i="14"/>
  <c r="D25" i="14"/>
  <c r="C25" i="14"/>
  <c r="B25" i="14"/>
  <c r="D24" i="14"/>
  <c r="D24" i="15" s="1"/>
  <c r="C24" i="14"/>
  <c r="C24" i="15" s="1"/>
  <c r="G23" i="14"/>
  <c r="G23" i="15" s="1"/>
  <c r="F23" i="14"/>
  <c r="F23" i="15" s="1"/>
  <c r="E23" i="14"/>
  <c r="E23" i="15" s="1"/>
  <c r="D23" i="14"/>
  <c r="D23" i="15" s="1"/>
  <c r="C23" i="14"/>
  <c r="C23" i="15" s="1"/>
  <c r="B23" i="14"/>
  <c r="B23" i="15" s="1"/>
  <c r="F22" i="14"/>
  <c r="F22" i="15" s="1"/>
  <c r="E22" i="14"/>
  <c r="E22" i="15" s="1"/>
  <c r="D22" i="14"/>
  <c r="D22" i="15" s="1"/>
  <c r="I21" i="14"/>
  <c r="I21" i="15" s="1"/>
  <c r="H21" i="14"/>
  <c r="G21" i="14"/>
  <c r="F21" i="14"/>
  <c r="F21" i="15" s="1"/>
  <c r="J20" i="14"/>
  <c r="I20" i="14"/>
  <c r="I20" i="15" s="1"/>
  <c r="H20" i="14"/>
  <c r="H20" i="15" s="1"/>
  <c r="G20" i="14"/>
  <c r="G20" i="15" s="1"/>
  <c r="F20" i="14"/>
  <c r="F20" i="15" s="1"/>
  <c r="E20" i="14"/>
  <c r="E20" i="15" s="1"/>
  <c r="D20" i="14"/>
  <c r="D20" i="15" s="1"/>
  <c r="C20" i="14"/>
  <c r="C20" i="15" s="1"/>
  <c r="B20" i="14"/>
  <c r="B20" i="15" s="1"/>
  <c r="N19" i="14"/>
  <c r="M19" i="14"/>
  <c r="M19" i="15" s="1"/>
  <c r="L19" i="14"/>
  <c r="L19" i="15" s="1"/>
  <c r="K19" i="14"/>
  <c r="K19" i="15" s="1"/>
  <c r="J19" i="14"/>
  <c r="I19" i="14"/>
  <c r="I19" i="15" s="1"/>
  <c r="H19" i="14"/>
  <c r="H19" i="15" s="1"/>
  <c r="G19" i="14"/>
  <c r="G19" i="15" s="1"/>
  <c r="F19" i="14"/>
  <c r="F19" i="15" s="1"/>
  <c r="O18" i="14"/>
  <c r="N18" i="14"/>
  <c r="M18" i="14"/>
  <c r="M18" i="15" s="1"/>
  <c r="L18" i="14"/>
  <c r="L18" i="15" s="1"/>
  <c r="K18" i="14"/>
  <c r="K18" i="15" s="1"/>
  <c r="J18" i="14"/>
  <c r="J18" i="15" s="1"/>
  <c r="I18" i="14"/>
  <c r="I18" i="15" s="1"/>
  <c r="H17" i="14"/>
  <c r="I16" i="14"/>
  <c r="I16" i="15" s="1"/>
  <c r="H16" i="14"/>
  <c r="G16" i="14"/>
  <c r="G16" i="15" s="1"/>
  <c r="F16" i="14"/>
  <c r="F16" i="15" s="1"/>
  <c r="E16" i="14"/>
  <c r="E16" i="15" s="1"/>
  <c r="D16" i="14"/>
  <c r="D16" i="15" s="1"/>
  <c r="C16" i="14"/>
  <c r="C16" i="15" s="1"/>
  <c r="B16" i="14"/>
  <c r="B16" i="15" s="1"/>
  <c r="C15" i="14"/>
  <c r="C15" i="15" s="1"/>
  <c r="B15" i="14"/>
  <c r="B15" i="15" s="1"/>
  <c r="C14" i="14"/>
  <c r="B14" i="14"/>
  <c r="B14" i="15" s="1"/>
  <c r="C13" i="14"/>
  <c r="C13" i="15" s="1"/>
  <c r="B13" i="14"/>
  <c r="B13" i="15" s="1"/>
  <c r="C12" i="14"/>
  <c r="C12" i="15" s="1"/>
  <c r="B12" i="14"/>
  <c r="B12" i="15" s="1"/>
  <c r="D11" i="14"/>
  <c r="D11" i="15" s="1"/>
  <c r="C11" i="14"/>
  <c r="C11" i="15" s="1"/>
  <c r="B11" i="14"/>
  <c r="B11" i="15" s="1"/>
  <c r="F10" i="14"/>
  <c r="F10" i="15" s="1"/>
  <c r="E10" i="14"/>
  <c r="E10" i="15" s="1"/>
  <c r="D10" i="14"/>
  <c r="D10" i="15" s="1"/>
  <c r="C10" i="14"/>
  <c r="C10" i="15" s="1"/>
  <c r="B10" i="14"/>
  <c r="B10" i="15" s="1"/>
  <c r="F9" i="14"/>
  <c r="F9" i="15" s="1"/>
  <c r="E9" i="14"/>
  <c r="E9" i="15" s="1"/>
  <c r="D9" i="14"/>
  <c r="C9" i="14"/>
  <c r="C9" i="15" s="1"/>
  <c r="B9" i="14"/>
  <c r="B9" i="15" s="1"/>
  <c r="G8" i="14"/>
  <c r="G8" i="15" s="1"/>
  <c r="F8" i="14"/>
  <c r="F8" i="15" s="1"/>
  <c r="E8" i="14"/>
  <c r="E8" i="15" s="1"/>
  <c r="D8" i="14"/>
  <c r="D8" i="15" s="1"/>
  <c r="C8" i="14"/>
  <c r="C8" i="15" s="1"/>
  <c r="H7" i="14"/>
  <c r="H7" i="15" s="1"/>
  <c r="G7" i="14"/>
  <c r="G7" i="15" s="1"/>
  <c r="F7" i="14"/>
  <c r="F7" i="15" s="1"/>
  <c r="E7" i="14"/>
  <c r="D7" i="14"/>
  <c r="D7" i="15" s="1"/>
  <c r="C7" i="14"/>
  <c r="C7" i="15" s="1"/>
  <c r="B7" i="14"/>
  <c r="B7" i="15" s="1"/>
  <c r="I6" i="14"/>
  <c r="I6" i="15" s="1"/>
  <c r="H6" i="14"/>
  <c r="K5" i="14"/>
  <c r="K5" i="15" s="1"/>
  <c r="J5" i="14"/>
  <c r="M4" i="14"/>
  <c r="J4" i="14"/>
  <c r="BU14" i="26" s="1"/>
  <c r="BP14" i="26" s="1"/>
  <c r="I4" i="14"/>
  <c r="H4" i="14"/>
  <c r="AW22" i="26" s="1"/>
  <c r="AR22" i="26" s="1"/>
  <c r="AQ22" i="26" s="1"/>
  <c r="G4" i="14"/>
  <c r="G4" i="15" s="1"/>
  <c r="F4" i="14"/>
  <c r="E4" i="14"/>
  <c r="AA27" i="26" s="1"/>
  <c r="W27" i="26" s="1"/>
  <c r="D4" i="14"/>
  <c r="D4" i="15" s="1"/>
  <c r="C4" i="14"/>
  <c r="O3" i="14"/>
  <c r="O3" i="15" s="1"/>
  <c r="M37" i="13"/>
  <c r="M37" i="12" s="1"/>
  <c r="G37" i="13"/>
  <c r="F35" i="13"/>
  <c r="E8" i="30" s="1"/>
  <c r="E75" i="30" s="1"/>
  <c r="O34" i="13"/>
  <c r="N34" i="13"/>
  <c r="M34" i="13"/>
  <c r="L34" i="13"/>
  <c r="K34" i="13"/>
  <c r="J34" i="13"/>
  <c r="I34" i="13"/>
  <c r="H34" i="13"/>
  <c r="G34" i="13"/>
  <c r="F34" i="13"/>
  <c r="E34" i="13"/>
  <c r="D34" i="13"/>
  <c r="C34" i="13"/>
  <c r="B34" i="13"/>
  <c r="O33" i="13"/>
  <c r="N33" i="13"/>
  <c r="M33" i="13"/>
  <c r="L33" i="13"/>
  <c r="K33" i="13"/>
  <c r="J33" i="13"/>
  <c r="I33" i="13"/>
  <c r="H33" i="13"/>
  <c r="G33" i="13"/>
  <c r="F33" i="13"/>
  <c r="E33" i="13"/>
  <c r="D33" i="13"/>
  <c r="C33" i="13"/>
  <c r="B33" i="13"/>
  <c r="O29" i="13"/>
  <c r="M29" i="13"/>
  <c r="I29" i="13"/>
  <c r="E29" i="13"/>
  <c r="B29" i="13"/>
  <c r="L28" i="13"/>
  <c r="K28" i="13"/>
  <c r="J28" i="13"/>
  <c r="I28" i="13"/>
  <c r="O27" i="13"/>
  <c r="N27" i="13"/>
  <c r="M26" i="13"/>
  <c r="L26" i="13"/>
  <c r="O25" i="13"/>
  <c r="N25" i="13"/>
  <c r="M25" i="13"/>
  <c r="L25" i="13"/>
  <c r="K25" i="13"/>
  <c r="O24" i="13"/>
  <c r="N24" i="13"/>
  <c r="M24" i="13"/>
  <c r="L24" i="13"/>
  <c r="K24" i="13"/>
  <c r="J24" i="13"/>
  <c r="I24" i="13"/>
  <c r="H24" i="13"/>
  <c r="G24" i="13"/>
  <c r="F24" i="13"/>
  <c r="E24" i="13"/>
  <c r="D24" i="13"/>
  <c r="C24" i="13"/>
  <c r="O23" i="13"/>
  <c r="N23" i="13"/>
  <c r="M23" i="13"/>
  <c r="L23" i="13"/>
  <c r="K23" i="13"/>
  <c r="J23" i="13"/>
  <c r="I23" i="13"/>
  <c r="H23" i="13"/>
  <c r="G23" i="13"/>
  <c r="F23" i="13"/>
  <c r="E23" i="13"/>
  <c r="D23" i="13"/>
  <c r="G22" i="13"/>
  <c r="F22" i="13"/>
  <c r="I21" i="13"/>
  <c r="O20" i="13"/>
  <c r="N20" i="13"/>
  <c r="M20" i="13"/>
  <c r="L20" i="13"/>
  <c r="K20" i="13"/>
  <c r="J20" i="13"/>
  <c r="I20" i="13"/>
  <c r="H20" i="13"/>
  <c r="G20" i="13"/>
  <c r="O19" i="13"/>
  <c r="N19" i="13"/>
  <c r="M19" i="13"/>
  <c r="M38" i="13" s="1"/>
  <c r="M38" i="12" s="1"/>
  <c r="L19" i="13"/>
  <c r="K19" i="13"/>
  <c r="J19" i="13"/>
  <c r="I19" i="13"/>
  <c r="H19" i="13"/>
  <c r="G19" i="13"/>
  <c r="F19" i="13"/>
  <c r="E19" i="13"/>
  <c r="D19" i="13"/>
  <c r="O18" i="13"/>
  <c r="N18" i="13"/>
  <c r="N37" i="13" s="1"/>
  <c r="N37" i="12" s="1"/>
  <c r="M18" i="13"/>
  <c r="L18" i="13"/>
  <c r="K18" i="13"/>
  <c r="J18" i="13"/>
  <c r="I18" i="13"/>
  <c r="H18" i="13"/>
  <c r="G18" i="13"/>
  <c r="F18" i="13"/>
  <c r="E18" i="13"/>
  <c r="D18" i="13"/>
  <c r="C18" i="13"/>
  <c r="D17" i="13"/>
  <c r="C17" i="13"/>
  <c r="F16" i="13"/>
  <c r="E16" i="13"/>
  <c r="D16" i="13"/>
  <c r="G15" i="13"/>
  <c r="F15" i="13"/>
  <c r="E15" i="13"/>
  <c r="D15" i="13"/>
  <c r="I14" i="13"/>
  <c r="I37" i="13" s="1"/>
  <c r="I37" i="12" s="1"/>
  <c r="H14" i="13"/>
  <c r="G14" i="13"/>
  <c r="F14" i="13"/>
  <c r="J13" i="13"/>
  <c r="I13" i="13"/>
  <c r="H13" i="13"/>
  <c r="G13" i="13"/>
  <c r="O12" i="13"/>
  <c r="O37" i="13" s="1"/>
  <c r="O37" i="12" s="1"/>
  <c r="N12" i="13"/>
  <c r="M12" i="13"/>
  <c r="L12" i="13"/>
  <c r="K12" i="13"/>
  <c r="J12" i="13"/>
  <c r="I12" i="13"/>
  <c r="H12" i="13"/>
  <c r="G12" i="13"/>
  <c r="F12" i="13"/>
  <c r="O11" i="13"/>
  <c r="N11" i="13"/>
  <c r="M11" i="13"/>
  <c r="L11" i="13"/>
  <c r="K11" i="13"/>
  <c r="J11" i="13"/>
  <c r="I11" i="13"/>
  <c r="M10" i="13"/>
  <c r="K10" i="13"/>
  <c r="H10" i="13"/>
  <c r="G9" i="13"/>
  <c r="F9" i="13"/>
  <c r="E9" i="13"/>
  <c r="D9" i="13"/>
  <c r="C9" i="13"/>
  <c r="H8" i="13"/>
  <c r="G8" i="13"/>
  <c r="I7" i="13"/>
  <c r="H7" i="13"/>
  <c r="G7" i="13"/>
  <c r="F7" i="13"/>
  <c r="E7" i="13"/>
  <c r="D7" i="13"/>
  <c r="C7" i="13"/>
  <c r="I6" i="13"/>
  <c r="H6" i="13"/>
  <c r="K5" i="13"/>
  <c r="J5" i="13"/>
  <c r="M4" i="13"/>
  <c r="L4" i="13"/>
  <c r="L37" i="13" s="1"/>
  <c r="L37" i="12" s="1"/>
  <c r="J4" i="13"/>
  <c r="I4" i="13"/>
  <c r="H4" i="13"/>
  <c r="G4" i="13"/>
  <c r="F4" i="13"/>
  <c r="F38" i="13" s="1"/>
  <c r="F38" i="12" s="1"/>
  <c r="E4" i="13"/>
  <c r="D4" i="13"/>
  <c r="D35" i="13" s="1"/>
  <c r="D35" i="12" s="1"/>
  <c r="C4" i="13"/>
  <c r="C35" i="13" s="1"/>
  <c r="O3" i="13"/>
  <c r="N3" i="13"/>
  <c r="M3" i="13"/>
  <c r="L3" i="13"/>
  <c r="K3" i="13"/>
  <c r="J3" i="13"/>
  <c r="G37" i="12"/>
  <c r="M29" i="12"/>
  <c r="I29" i="12"/>
  <c r="H29" i="12"/>
  <c r="H29" i="13" s="1"/>
  <c r="E29" i="12"/>
  <c r="C29" i="12"/>
  <c r="C29" i="13" s="1"/>
  <c r="B29" i="12"/>
  <c r="D18" i="12"/>
  <c r="D26" i="14" s="1"/>
  <c r="D26" i="15" s="1"/>
  <c r="O10" i="12"/>
  <c r="O29" i="12" s="1"/>
  <c r="N10" i="12"/>
  <c r="N17" i="14" s="1"/>
  <c r="M10" i="12"/>
  <c r="M17" i="14" s="1"/>
  <c r="L10" i="12"/>
  <c r="K10" i="12"/>
  <c r="K17" i="14" s="1"/>
  <c r="J10" i="12"/>
  <c r="J29" i="12" s="1"/>
  <c r="J29" i="13" s="1"/>
  <c r="I10" i="12"/>
  <c r="I17" i="14" s="1"/>
  <c r="H10" i="12"/>
  <c r="G10" i="12"/>
  <c r="G29" i="12" s="1"/>
  <c r="G29" i="13" s="1"/>
  <c r="F10" i="12"/>
  <c r="F17" i="14" s="1"/>
  <c r="L4" i="12"/>
  <c r="K4" i="12"/>
  <c r="K47" i="11"/>
  <c r="K47" i="10" s="1"/>
  <c r="M46" i="11"/>
  <c r="K46" i="11"/>
  <c r="K46" i="10" s="1"/>
  <c r="H45" i="11"/>
  <c r="K44" i="11"/>
  <c r="I9" i="30" s="1"/>
  <c r="I76" i="30" s="1"/>
  <c r="H44" i="11"/>
  <c r="F9" i="30" s="1"/>
  <c r="F76" i="30" s="1"/>
  <c r="F44" i="11"/>
  <c r="N43" i="11"/>
  <c r="M43" i="11"/>
  <c r="L43" i="11"/>
  <c r="K43" i="11"/>
  <c r="J43" i="11"/>
  <c r="I43" i="11"/>
  <c r="H43" i="11"/>
  <c r="G43" i="11"/>
  <c r="F43" i="11"/>
  <c r="E43" i="11"/>
  <c r="D43" i="11"/>
  <c r="C43" i="11"/>
  <c r="B43" i="11"/>
  <c r="G35" i="11"/>
  <c r="F35" i="11"/>
  <c r="E35" i="11"/>
  <c r="M34" i="11"/>
  <c r="L34" i="11"/>
  <c r="K34" i="11"/>
  <c r="J34" i="11"/>
  <c r="I34" i="11"/>
  <c r="H34" i="11"/>
  <c r="G34" i="11"/>
  <c r="F34" i="11"/>
  <c r="E34" i="11"/>
  <c r="D34" i="11"/>
  <c r="C34" i="11"/>
  <c r="B34" i="11"/>
  <c r="N33" i="11"/>
  <c r="M33" i="11"/>
  <c r="F32" i="11"/>
  <c r="E32" i="11"/>
  <c r="D32" i="11"/>
  <c r="C32" i="11"/>
  <c r="B32" i="11"/>
  <c r="H31" i="11"/>
  <c r="G31" i="11"/>
  <c r="I30" i="11"/>
  <c r="H30" i="11"/>
  <c r="G30" i="11"/>
  <c r="F30" i="11"/>
  <c r="E30" i="11"/>
  <c r="D30" i="11"/>
  <c r="C30" i="11"/>
  <c r="B30" i="11"/>
  <c r="O29" i="11"/>
  <c r="N29" i="11"/>
  <c r="M29" i="11"/>
  <c r="L29" i="11"/>
  <c r="K29" i="11"/>
  <c r="J29" i="11"/>
  <c r="C28" i="11"/>
  <c r="B28" i="11"/>
  <c r="B27" i="11"/>
  <c r="G26" i="11"/>
  <c r="F26" i="11"/>
  <c r="E26" i="11"/>
  <c r="D26" i="11"/>
  <c r="C26" i="11"/>
  <c r="B26" i="11"/>
  <c r="N25" i="11"/>
  <c r="M25" i="11"/>
  <c r="L25" i="11"/>
  <c r="K25" i="11"/>
  <c r="J25" i="11"/>
  <c r="I25" i="11"/>
  <c r="H25" i="11"/>
  <c r="C24" i="11"/>
  <c r="B24" i="11"/>
  <c r="E23" i="11"/>
  <c r="D23" i="11"/>
  <c r="C23" i="11"/>
  <c r="B23" i="11"/>
  <c r="N22" i="11"/>
  <c r="M22" i="11"/>
  <c r="L22" i="11"/>
  <c r="K22" i="11"/>
  <c r="J22" i="11"/>
  <c r="I22" i="11"/>
  <c r="H22" i="11"/>
  <c r="G22" i="11"/>
  <c r="F22" i="11"/>
  <c r="E22" i="11"/>
  <c r="D22" i="11"/>
  <c r="C22" i="11"/>
  <c r="B22" i="11"/>
  <c r="G21" i="11"/>
  <c r="F21" i="11"/>
  <c r="E21" i="11"/>
  <c r="D21" i="11"/>
  <c r="C21" i="11"/>
  <c r="B21" i="11"/>
  <c r="J20" i="11"/>
  <c r="I20" i="11"/>
  <c r="H20" i="11"/>
  <c r="G20" i="11"/>
  <c r="F20" i="11"/>
  <c r="E20" i="11"/>
  <c r="D20" i="11"/>
  <c r="C20" i="11"/>
  <c r="B20" i="11"/>
  <c r="O19" i="11"/>
  <c r="N19" i="11"/>
  <c r="M19" i="11"/>
  <c r="L19" i="11"/>
  <c r="K19" i="11"/>
  <c r="J19" i="11"/>
  <c r="I19" i="11"/>
  <c r="H19" i="11"/>
  <c r="O18" i="11"/>
  <c r="N18" i="11"/>
  <c r="M18" i="11"/>
  <c r="L18" i="11"/>
  <c r="K18" i="11"/>
  <c r="N17" i="11"/>
  <c r="M17" i="11"/>
  <c r="L17" i="11"/>
  <c r="K17" i="11"/>
  <c r="J17" i="11"/>
  <c r="I17" i="11"/>
  <c r="H17" i="11"/>
  <c r="I16" i="11"/>
  <c r="H16" i="11"/>
  <c r="G16" i="11"/>
  <c r="I15" i="11"/>
  <c r="H15" i="11"/>
  <c r="G15" i="11"/>
  <c r="F15" i="11"/>
  <c r="E15" i="11"/>
  <c r="D15" i="11"/>
  <c r="C15" i="11"/>
  <c r="B15" i="11"/>
  <c r="C14" i="11"/>
  <c r="B14" i="11"/>
  <c r="C13" i="11"/>
  <c r="B13" i="11"/>
  <c r="C12" i="11"/>
  <c r="B12" i="11"/>
  <c r="C11" i="11"/>
  <c r="B11" i="11"/>
  <c r="D10" i="11"/>
  <c r="C10" i="11"/>
  <c r="B10" i="11"/>
  <c r="F9" i="11"/>
  <c r="E9" i="11"/>
  <c r="D9" i="11"/>
  <c r="C9" i="11"/>
  <c r="B9" i="11"/>
  <c r="F8" i="11"/>
  <c r="E8" i="11"/>
  <c r="D8" i="11"/>
  <c r="C8" i="11"/>
  <c r="B8" i="11"/>
  <c r="H7" i="11"/>
  <c r="G7" i="11"/>
  <c r="F7" i="11"/>
  <c r="E7" i="11"/>
  <c r="D7" i="11"/>
  <c r="C7" i="11"/>
  <c r="B7" i="11"/>
  <c r="I6" i="11"/>
  <c r="K5" i="11"/>
  <c r="K45" i="11" s="1"/>
  <c r="J5" i="11"/>
  <c r="N4" i="11"/>
  <c r="N44" i="11" s="1"/>
  <c r="M4" i="11"/>
  <c r="L4" i="11"/>
  <c r="N3" i="11"/>
  <c r="M3" i="11"/>
  <c r="L3" i="11"/>
  <c r="K3" i="11"/>
  <c r="J3" i="11"/>
  <c r="J44" i="11" s="1"/>
  <c r="H9" i="30" s="1"/>
  <c r="H76" i="30" s="1"/>
  <c r="I3" i="11"/>
  <c r="H3" i="11"/>
  <c r="G3" i="11"/>
  <c r="G44" i="11" s="1"/>
  <c r="G44" i="10" s="1"/>
  <c r="F3" i="11"/>
  <c r="E3" i="11"/>
  <c r="E44" i="11" s="1"/>
  <c r="D9" i="30" s="1"/>
  <c r="D76" i="30" s="1"/>
  <c r="D3" i="11"/>
  <c r="C3" i="11"/>
  <c r="B3" i="11"/>
  <c r="B44" i="11" s="1"/>
  <c r="B9" i="30" s="1"/>
  <c r="B76" i="30" s="1"/>
  <c r="M46" i="10"/>
  <c r="J44" i="10"/>
  <c r="E44" i="10"/>
  <c r="O43" i="10"/>
  <c r="O34" i="11" s="1"/>
  <c r="N34" i="10"/>
  <c r="N36" i="14" s="1"/>
  <c r="O33" i="10"/>
  <c r="O34" i="14" s="1"/>
  <c r="O34" i="15" s="1"/>
  <c r="O19" i="10"/>
  <c r="O17" i="10" s="1"/>
  <c r="AA49" i="9"/>
  <c r="AA41" i="9"/>
  <c r="H31" i="9"/>
  <c r="E31" i="9"/>
  <c r="C31" i="9"/>
  <c r="B31" i="9"/>
  <c r="H30" i="9"/>
  <c r="B30" i="9"/>
  <c r="H29" i="9"/>
  <c r="E29" i="9"/>
  <c r="E30" i="9" s="1"/>
  <c r="C29" i="9"/>
  <c r="C30" i="9" s="1"/>
  <c r="B29" i="9"/>
  <c r="X27" i="9"/>
  <c r="W27" i="9"/>
  <c r="V27" i="9"/>
  <c r="U27" i="9"/>
  <c r="T27" i="9"/>
  <c r="S27" i="9"/>
  <c r="R27" i="9"/>
  <c r="Q27" i="9"/>
  <c r="P27" i="9"/>
  <c r="O27" i="9"/>
  <c r="D27" i="9"/>
  <c r="I26" i="9"/>
  <c r="I27" i="9" s="1"/>
  <c r="H26" i="9"/>
  <c r="H27" i="9" s="1"/>
  <c r="G26" i="9"/>
  <c r="G27" i="9" s="1"/>
  <c r="F26" i="9"/>
  <c r="F27" i="9" s="1"/>
  <c r="E26" i="9"/>
  <c r="E27" i="9" s="1"/>
  <c r="D26" i="9"/>
  <c r="C26" i="9"/>
  <c r="C27" i="9" s="1"/>
  <c r="B26" i="9"/>
  <c r="B27" i="9" s="1"/>
  <c r="Y23" i="9"/>
  <c r="X23" i="9"/>
  <c r="W23" i="9"/>
  <c r="V23" i="9"/>
  <c r="U23" i="9"/>
  <c r="T23" i="9"/>
  <c r="S23" i="9"/>
  <c r="R23" i="9"/>
  <c r="I22" i="9"/>
  <c r="H22" i="9"/>
  <c r="H23" i="9" s="1"/>
  <c r="G22" i="9"/>
  <c r="G31" i="9" s="1"/>
  <c r="F22" i="9"/>
  <c r="E22" i="9"/>
  <c r="D22" i="9"/>
  <c r="C22" i="9"/>
  <c r="B22" i="9"/>
  <c r="Y20" i="9"/>
  <c r="X20" i="9"/>
  <c r="W20" i="9"/>
  <c r="V20" i="9"/>
  <c r="U20" i="9"/>
  <c r="Y19" i="9"/>
  <c r="X19" i="9"/>
  <c r="W19" i="9"/>
  <c r="V19" i="9"/>
  <c r="U19" i="9"/>
  <c r="I17" i="9"/>
  <c r="H17" i="9"/>
  <c r="G17" i="9"/>
  <c r="F17" i="9"/>
  <c r="E17" i="9"/>
  <c r="D17" i="9"/>
  <c r="B17" i="9"/>
  <c r="C14" i="9"/>
  <c r="C17" i="9" s="1"/>
  <c r="Y13" i="9"/>
  <c r="X13" i="9"/>
  <c r="W13" i="9"/>
  <c r="V13" i="9"/>
  <c r="U13" i="9"/>
  <c r="Y8" i="9"/>
  <c r="X8" i="9"/>
  <c r="W8" i="9"/>
  <c r="V8" i="9"/>
  <c r="U8" i="9"/>
  <c r="T8" i="9"/>
  <c r="S8" i="9"/>
  <c r="R8" i="9"/>
  <c r="Q8" i="9"/>
  <c r="P8" i="9"/>
  <c r="O8" i="9"/>
  <c r="L8" i="9"/>
  <c r="AK7" i="9"/>
  <c r="AJ7" i="9"/>
  <c r="AI7" i="9"/>
  <c r="AH7" i="9"/>
  <c r="AG7" i="9"/>
  <c r="AF7" i="9"/>
  <c r="E49" i="8"/>
  <c r="K48" i="8"/>
  <c r="M47" i="8"/>
  <c r="L47" i="8"/>
  <c r="K47" i="8"/>
  <c r="J47" i="8"/>
  <c r="I47" i="8"/>
  <c r="H47" i="8"/>
  <c r="G47" i="8"/>
  <c r="F47" i="8"/>
  <c r="E47" i="8"/>
  <c r="D47" i="8"/>
  <c r="C47" i="8"/>
  <c r="B47" i="8"/>
  <c r="I43" i="8"/>
  <c r="H43" i="8"/>
  <c r="H42" i="8"/>
  <c r="G42" i="8"/>
  <c r="F42" i="8"/>
  <c r="M41" i="8"/>
  <c r="L41" i="8"/>
  <c r="K41" i="8"/>
  <c r="J41" i="8"/>
  <c r="I41" i="8"/>
  <c r="H41" i="8"/>
  <c r="G41" i="8"/>
  <c r="M40" i="8"/>
  <c r="L40" i="8"/>
  <c r="K40" i="8"/>
  <c r="J40" i="8"/>
  <c r="I40" i="8"/>
  <c r="H40" i="8"/>
  <c r="G40" i="8"/>
  <c r="F40" i="8"/>
  <c r="E40" i="8"/>
  <c r="M39" i="8"/>
  <c r="L39" i="8"/>
  <c r="K39" i="8"/>
  <c r="J39" i="8"/>
  <c r="I39" i="8"/>
  <c r="H39" i="8"/>
  <c r="G39" i="8"/>
  <c r="M38" i="8"/>
  <c r="L38" i="8"/>
  <c r="K38" i="8"/>
  <c r="J38" i="8"/>
  <c r="I38" i="8"/>
  <c r="H38" i="8"/>
  <c r="G38" i="8"/>
  <c r="F37" i="8"/>
  <c r="E37" i="8"/>
  <c r="D37" i="8"/>
  <c r="C37" i="8"/>
  <c r="B37" i="8"/>
  <c r="M36" i="8"/>
  <c r="L36" i="8"/>
  <c r="K36" i="8"/>
  <c r="J36" i="8"/>
  <c r="I36" i="8"/>
  <c r="H36" i="8"/>
  <c r="G36" i="8"/>
  <c r="F36" i="8"/>
  <c r="E36" i="8"/>
  <c r="M35" i="8"/>
  <c r="L35" i="8"/>
  <c r="K35" i="8"/>
  <c r="J35" i="8"/>
  <c r="I35" i="8"/>
  <c r="H35" i="8"/>
  <c r="E34" i="8"/>
  <c r="D34" i="8"/>
  <c r="M33" i="8"/>
  <c r="L33" i="8"/>
  <c r="K33" i="8"/>
  <c r="J33" i="8"/>
  <c r="I33" i="8"/>
  <c r="H33" i="8"/>
  <c r="G33" i="8"/>
  <c r="F33" i="8"/>
  <c r="E33" i="8"/>
  <c r="D33" i="8"/>
  <c r="C33" i="8"/>
  <c r="B33" i="8"/>
  <c r="D32" i="8"/>
  <c r="C31" i="8"/>
  <c r="B31" i="8"/>
  <c r="D30" i="8"/>
  <c r="C30" i="8"/>
  <c r="B30" i="8"/>
  <c r="E29" i="8"/>
  <c r="D29" i="8"/>
  <c r="C29" i="8"/>
  <c r="B29" i="8"/>
  <c r="F28" i="8"/>
  <c r="E28" i="8"/>
  <c r="E48" i="8" s="1"/>
  <c r="E6" i="30" s="1"/>
  <c r="E62" i="30" s="1"/>
  <c r="D28" i="8"/>
  <c r="C28" i="8"/>
  <c r="M27" i="8"/>
  <c r="L27" i="8"/>
  <c r="K27" i="8"/>
  <c r="J27" i="8"/>
  <c r="I27" i="8"/>
  <c r="I48" i="8" s="1"/>
  <c r="H27" i="8"/>
  <c r="G27" i="8"/>
  <c r="B26" i="8"/>
  <c r="C25" i="8"/>
  <c r="B25" i="8"/>
  <c r="D24" i="8"/>
  <c r="C24" i="8"/>
  <c r="B24" i="8"/>
  <c r="F23" i="8"/>
  <c r="E23" i="8"/>
  <c r="D23" i="8"/>
  <c r="C23" i="8"/>
  <c r="B23" i="8"/>
  <c r="M22" i="8"/>
  <c r="L22" i="8"/>
  <c r="L48" i="8" s="1"/>
  <c r="L6" i="30" s="1"/>
  <c r="L62" i="30" s="1"/>
  <c r="K22" i="8"/>
  <c r="J22" i="8"/>
  <c r="I22" i="8"/>
  <c r="H22" i="8"/>
  <c r="H48" i="8" s="1"/>
  <c r="G22" i="8"/>
  <c r="F22" i="8"/>
  <c r="F48" i="8" s="1"/>
  <c r="E22" i="8"/>
  <c r="D22" i="8"/>
  <c r="D48" i="8" s="1"/>
  <c r="D6" i="30" s="1"/>
  <c r="D62" i="30" s="1"/>
  <c r="C22" i="8"/>
  <c r="C48" i="8" s="1"/>
  <c r="B22" i="8"/>
  <c r="M19" i="8"/>
  <c r="L19" i="8"/>
  <c r="K19" i="8"/>
  <c r="J19" i="8"/>
  <c r="I19" i="8"/>
  <c r="H19" i="8"/>
  <c r="G19" i="8"/>
  <c r="F19" i="8"/>
  <c r="C18" i="8"/>
  <c r="D17" i="8"/>
  <c r="D16" i="8"/>
  <c r="C16" i="8"/>
  <c r="B16" i="8"/>
  <c r="D15" i="8"/>
  <c r="D14" i="8"/>
  <c r="E13" i="8"/>
  <c r="D13" i="8"/>
  <c r="D12" i="8"/>
  <c r="C12" i="8"/>
  <c r="B12" i="8"/>
  <c r="E11" i="8"/>
  <c r="D11" i="8"/>
  <c r="C11" i="8"/>
  <c r="B11" i="8"/>
  <c r="F10" i="8"/>
  <c r="E10" i="8"/>
  <c r="D10" i="8"/>
  <c r="C10" i="8"/>
  <c r="B10" i="8"/>
  <c r="F9" i="8"/>
  <c r="E9" i="8"/>
  <c r="D9" i="8"/>
  <c r="C9" i="8"/>
  <c r="B9" i="8"/>
  <c r="F8" i="8"/>
  <c r="E8" i="8"/>
  <c r="D8" i="8"/>
  <c r="C8" i="8"/>
  <c r="B8" i="8"/>
  <c r="H7" i="8"/>
  <c r="G7" i="8"/>
  <c r="F7" i="8"/>
  <c r="E7" i="8"/>
  <c r="D7" i="8"/>
  <c r="C7" i="8"/>
  <c r="B7" i="8"/>
  <c r="E6" i="8"/>
  <c r="M5" i="8"/>
  <c r="L5" i="8"/>
  <c r="K5" i="8"/>
  <c r="J5" i="8"/>
  <c r="I5" i="8"/>
  <c r="H5" i="8"/>
  <c r="G5" i="8"/>
  <c r="F5" i="8"/>
  <c r="M4" i="8"/>
  <c r="L4" i="8"/>
  <c r="K4" i="8"/>
  <c r="J4" i="8"/>
  <c r="I4" i="8"/>
  <c r="H4" i="8"/>
  <c r="G4" i="8"/>
  <c r="F4" i="8"/>
  <c r="E4" i="8"/>
  <c r="M3" i="8"/>
  <c r="M48" i="8" s="1"/>
  <c r="M6" i="30" s="1"/>
  <c r="M62" i="30" s="1"/>
  <c r="L3" i="8"/>
  <c r="L49" i="8" s="1"/>
  <c r="K3" i="8"/>
  <c r="J3" i="8"/>
  <c r="J49" i="8" s="1"/>
  <c r="I3" i="8"/>
  <c r="H3" i="8"/>
  <c r="H49" i="8" s="1"/>
  <c r="H20" i="30" s="1"/>
  <c r="H68" i="30" s="1"/>
  <c r="G3" i="8"/>
  <c r="G49" i="8" s="1"/>
  <c r="F3" i="8"/>
  <c r="E3" i="8"/>
  <c r="D3" i="8"/>
  <c r="C3" i="8"/>
  <c r="B3" i="8"/>
  <c r="B49" i="8" s="1"/>
  <c r="M48" i="7"/>
  <c r="M19" i="7"/>
  <c r="J44" i="6"/>
  <c r="J44" i="5" s="1"/>
  <c r="E44" i="6"/>
  <c r="E44" i="5" s="1"/>
  <c r="J42" i="6"/>
  <c r="J41" i="6"/>
  <c r="I41" i="6"/>
  <c r="H41" i="6"/>
  <c r="G41" i="6"/>
  <c r="F41" i="6"/>
  <c r="E41" i="6"/>
  <c r="D41" i="6"/>
  <c r="C41" i="6"/>
  <c r="B41" i="6"/>
  <c r="B37" i="6"/>
  <c r="C36" i="6"/>
  <c r="C35" i="6"/>
  <c r="B35" i="6"/>
  <c r="B34" i="6"/>
  <c r="C33" i="6"/>
  <c r="D32" i="6"/>
  <c r="C32" i="6"/>
  <c r="E31" i="6"/>
  <c r="B30" i="6"/>
  <c r="E29" i="6"/>
  <c r="D29" i="6"/>
  <c r="C29" i="6"/>
  <c r="D28" i="6"/>
  <c r="C28" i="6"/>
  <c r="E27" i="6"/>
  <c r="D27" i="6"/>
  <c r="C27" i="6"/>
  <c r="B27" i="6"/>
  <c r="D26" i="6"/>
  <c r="C26" i="6"/>
  <c r="B26" i="6"/>
  <c r="J25" i="6"/>
  <c r="I25" i="6"/>
  <c r="H25" i="6"/>
  <c r="G25" i="6"/>
  <c r="F25" i="6"/>
  <c r="E25" i="6"/>
  <c r="D25" i="6"/>
  <c r="J24" i="6"/>
  <c r="I24" i="6"/>
  <c r="H24" i="6"/>
  <c r="G24" i="6"/>
  <c r="F24" i="6"/>
  <c r="E24" i="6"/>
  <c r="D24" i="6"/>
  <c r="J23" i="6"/>
  <c r="I23" i="6"/>
  <c r="H23" i="6"/>
  <c r="G23" i="6"/>
  <c r="F23" i="6"/>
  <c r="E23" i="6"/>
  <c r="D23" i="6"/>
  <c r="C23" i="6"/>
  <c r="J22" i="6"/>
  <c r="I22" i="6"/>
  <c r="H22" i="6"/>
  <c r="G22" i="6"/>
  <c r="J21" i="6"/>
  <c r="I21" i="6"/>
  <c r="H21" i="6"/>
  <c r="G21" i="6"/>
  <c r="F21" i="6"/>
  <c r="E21" i="6"/>
  <c r="D21" i="6"/>
  <c r="C21" i="6"/>
  <c r="J20" i="6"/>
  <c r="I20" i="6"/>
  <c r="H20" i="6"/>
  <c r="G20" i="6"/>
  <c r="F20" i="6"/>
  <c r="E20" i="6"/>
  <c r="D20" i="6"/>
  <c r="C20" i="6"/>
  <c r="B20" i="6"/>
  <c r="J19" i="6"/>
  <c r="I19" i="6"/>
  <c r="H19" i="6"/>
  <c r="G19" i="6"/>
  <c r="F19" i="6"/>
  <c r="E19" i="6"/>
  <c r="D19" i="6"/>
  <c r="C19" i="6"/>
  <c r="B19" i="6"/>
  <c r="J18" i="6"/>
  <c r="I18" i="6"/>
  <c r="H18" i="6"/>
  <c r="G18" i="6"/>
  <c r="F18" i="6"/>
  <c r="E18" i="6"/>
  <c r="D18" i="6"/>
  <c r="C18" i="6"/>
  <c r="J17" i="6"/>
  <c r="I17" i="6"/>
  <c r="H17" i="6"/>
  <c r="G17" i="6"/>
  <c r="F17" i="6"/>
  <c r="F45" i="6" s="1"/>
  <c r="F45" i="5" s="1"/>
  <c r="E17" i="6"/>
  <c r="D17" i="6"/>
  <c r="C17" i="6"/>
  <c r="B17" i="6"/>
  <c r="B16" i="6"/>
  <c r="J15" i="6"/>
  <c r="I15" i="6"/>
  <c r="H15" i="6"/>
  <c r="G15" i="6"/>
  <c r="F15" i="6"/>
  <c r="E15" i="6"/>
  <c r="D15" i="6"/>
  <c r="C15" i="6"/>
  <c r="B15" i="6"/>
  <c r="C14" i="6"/>
  <c r="B14" i="6"/>
  <c r="J13" i="6"/>
  <c r="I13" i="6"/>
  <c r="G13" i="6"/>
  <c r="F13" i="6"/>
  <c r="E13" i="6"/>
  <c r="D13" i="6"/>
  <c r="C12" i="6"/>
  <c r="J11" i="6"/>
  <c r="I11" i="6"/>
  <c r="H11" i="6"/>
  <c r="G11" i="6"/>
  <c r="F11" i="6"/>
  <c r="E11" i="6"/>
  <c r="D11" i="6"/>
  <c r="C11" i="6"/>
  <c r="J10" i="6"/>
  <c r="I10" i="6"/>
  <c r="H10" i="6"/>
  <c r="G10" i="6"/>
  <c r="G42" i="6" s="1"/>
  <c r="F10" i="6"/>
  <c r="F43" i="6" s="1"/>
  <c r="E10" i="6"/>
  <c r="D10" i="6"/>
  <c r="C10" i="6"/>
  <c r="C43" i="6" s="1"/>
  <c r="B9" i="6"/>
  <c r="B8" i="6"/>
  <c r="B7" i="6"/>
  <c r="B6" i="6"/>
  <c r="J5" i="6"/>
  <c r="I5" i="6"/>
  <c r="H5" i="6"/>
  <c r="G5" i="6"/>
  <c r="F5" i="6"/>
  <c r="E5" i="6"/>
  <c r="D5" i="6"/>
  <c r="C5" i="6"/>
  <c r="J4" i="6"/>
  <c r="I4" i="6"/>
  <c r="I44" i="6" s="1"/>
  <c r="I44" i="5" s="1"/>
  <c r="H4" i="6"/>
  <c r="G4" i="6"/>
  <c r="G44" i="6" s="1"/>
  <c r="G44" i="5" s="1"/>
  <c r="F4" i="6"/>
  <c r="F44" i="6" s="1"/>
  <c r="E4" i="6"/>
  <c r="E45" i="6" s="1"/>
  <c r="E45" i="5" s="1"/>
  <c r="D4" i="6"/>
  <c r="C4" i="6"/>
  <c r="B4" i="6"/>
  <c r="B44" i="6" s="1"/>
  <c r="B44" i="5" s="1"/>
  <c r="J3" i="6"/>
  <c r="J43" i="6" s="1"/>
  <c r="I3" i="6"/>
  <c r="I43" i="6" s="1"/>
  <c r="H3" i="6"/>
  <c r="G3" i="6"/>
  <c r="F3" i="6"/>
  <c r="F42" i="6" s="1"/>
  <c r="I5" i="30" s="1"/>
  <c r="I61" i="30" s="1"/>
  <c r="E3" i="6"/>
  <c r="D3" i="6"/>
  <c r="C3" i="6"/>
  <c r="C42" i="6" s="1"/>
  <c r="B3" i="6"/>
  <c r="B42" i="6" s="1"/>
  <c r="F44" i="5"/>
  <c r="F42" i="5"/>
  <c r="H13" i="5"/>
  <c r="DC6" i="26" s="1"/>
  <c r="J3" i="5"/>
  <c r="M25" i="4"/>
  <c r="M25" i="3" s="1"/>
  <c r="K25" i="4"/>
  <c r="K25" i="3" s="1"/>
  <c r="J24" i="4"/>
  <c r="D23" i="4"/>
  <c r="D18" i="30" s="1"/>
  <c r="D66" i="30" s="1"/>
  <c r="B23" i="4"/>
  <c r="M21" i="4"/>
  <c r="L21" i="4"/>
  <c r="K21" i="4"/>
  <c r="J21" i="4"/>
  <c r="I21" i="4"/>
  <c r="H21" i="4"/>
  <c r="G21" i="4"/>
  <c r="F21" i="4"/>
  <c r="E21" i="4"/>
  <c r="D21" i="4"/>
  <c r="C21" i="4"/>
  <c r="B21" i="4"/>
  <c r="M15" i="4"/>
  <c r="L15" i="4"/>
  <c r="K15" i="4"/>
  <c r="J15" i="4"/>
  <c r="J23" i="4" s="1"/>
  <c r="I15" i="4"/>
  <c r="M14" i="4"/>
  <c r="L14" i="4"/>
  <c r="K14" i="4"/>
  <c r="J14" i="4"/>
  <c r="I14" i="4"/>
  <c r="M13" i="4"/>
  <c r="L13" i="4"/>
  <c r="K13" i="4"/>
  <c r="J13" i="4"/>
  <c r="I13" i="4"/>
  <c r="M12" i="4"/>
  <c r="L12" i="4"/>
  <c r="K12" i="4"/>
  <c r="J12" i="4"/>
  <c r="I12" i="4"/>
  <c r="H12" i="4"/>
  <c r="M11" i="4"/>
  <c r="L11" i="4"/>
  <c r="K11" i="4"/>
  <c r="J11" i="4"/>
  <c r="I11" i="4"/>
  <c r="H11" i="4"/>
  <c r="G11" i="4"/>
  <c r="F11" i="4"/>
  <c r="M10" i="4"/>
  <c r="L10" i="4"/>
  <c r="K10" i="4"/>
  <c r="J10" i="4"/>
  <c r="I10" i="4"/>
  <c r="H10" i="4"/>
  <c r="G10" i="4"/>
  <c r="F10" i="4"/>
  <c r="M9" i="4"/>
  <c r="L9" i="4"/>
  <c r="K9" i="4"/>
  <c r="J9" i="4"/>
  <c r="I9" i="4"/>
  <c r="H9" i="4"/>
  <c r="G9" i="4"/>
  <c r="F9" i="4"/>
  <c r="M8" i="4"/>
  <c r="L8" i="4"/>
  <c r="K8" i="4"/>
  <c r="J8" i="4"/>
  <c r="I8" i="4"/>
  <c r="I25" i="4" s="1"/>
  <c r="I25" i="3" s="1"/>
  <c r="H8" i="4"/>
  <c r="G8" i="4"/>
  <c r="F8" i="4"/>
  <c r="M7" i="4"/>
  <c r="L7" i="4"/>
  <c r="K7" i="4"/>
  <c r="J7" i="4"/>
  <c r="I7" i="4"/>
  <c r="H7" i="4"/>
  <c r="G7" i="4"/>
  <c r="F7" i="4"/>
  <c r="E7" i="4"/>
  <c r="D7" i="4"/>
  <c r="C7" i="4"/>
  <c r="B7" i="4"/>
  <c r="E6" i="4"/>
  <c r="M5" i="4"/>
  <c r="L5" i="4"/>
  <c r="L24" i="4" s="1"/>
  <c r="L24" i="3" s="1"/>
  <c r="K5" i="4"/>
  <c r="J5" i="4"/>
  <c r="I5" i="4"/>
  <c r="I24" i="4" s="1"/>
  <c r="I24" i="3" s="1"/>
  <c r="H5" i="4"/>
  <c r="G5" i="4"/>
  <c r="F5" i="4"/>
  <c r="F4" i="4"/>
  <c r="E4" i="4"/>
  <c r="M3" i="4"/>
  <c r="M24" i="4" s="1"/>
  <c r="M24" i="3" s="1"/>
  <c r="L3" i="4"/>
  <c r="L25" i="4" s="1"/>
  <c r="L25" i="3" s="1"/>
  <c r="K3" i="4"/>
  <c r="K22" i="4" s="1"/>
  <c r="J3" i="4"/>
  <c r="J22" i="4" s="1"/>
  <c r="I3" i="4"/>
  <c r="I22" i="4" s="1"/>
  <c r="H3" i="4"/>
  <c r="H25" i="4" s="1"/>
  <c r="H25" i="3" s="1"/>
  <c r="G3" i="4"/>
  <c r="G25" i="4" s="1"/>
  <c r="G25" i="3" s="1"/>
  <c r="F3" i="4"/>
  <c r="F22" i="4" s="1"/>
  <c r="E3" i="4"/>
  <c r="E23" i="4" s="1"/>
  <c r="D3" i="4"/>
  <c r="C3" i="4"/>
  <c r="C23" i="4" s="1"/>
  <c r="B3" i="4"/>
  <c r="J24" i="3"/>
  <c r="D23" i="3"/>
  <c r="B23" i="3"/>
  <c r="E22" i="3"/>
  <c r="D22" i="3"/>
  <c r="C22" i="3"/>
  <c r="B22" i="3"/>
  <c r="J40" i="2"/>
  <c r="J40" i="1" s="1"/>
  <c r="L39" i="2"/>
  <c r="L39" i="1" s="1"/>
  <c r="J39" i="2"/>
  <c r="J39" i="1" s="1"/>
  <c r="F39" i="2"/>
  <c r="J38" i="2"/>
  <c r="J17" i="30" s="1"/>
  <c r="J65" i="30" s="1"/>
  <c r="D38" i="2"/>
  <c r="D17" i="30" s="1"/>
  <c r="D65" i="30" s="1"/>
  <c r="B38" i="2"/>
  <c r="B17" i="30" s="1"/>
  <c r="B65" i="30" s="1"/>
  <c r="F37" i="2"/>
  <c r="F3" i="30" s="1"/>
  <c r="F59" i="30" s="1"/>
  <c r="M36" i="2"/>
  <c r="L36" i="2"/>
  <c r="K36" i="2"/>
  <c r="J36" i="2"/>
  <c r="I36" i="2"/>
  <c r="H36" i="2"/>
  <c r="G36" i="2"/>
  <c r="F36" i="2"/>
  <c r="E36" i="2"/>
  <c r="D36" i="2"/>
  <c r="C36" i="2"/>
  <c r="B36" i="2"/>
  <c r="M32" i="2"/>
  <c r="L32" i="2"/>
  <c r="K32" i="2"/>
  <c r="J32" i="2"/>
  <c r="I32" i="2"/>
  <c r="H32" i="2"/>
  <c r="G32" i="2"/>
  <c r="F32" i="2"/>
  <c r="E32" i="2"/>
  <c r="D32" i="2"/>
  <c r="C32" i="2"/>
  <c r="B32" i="2"/>
  <c r="J31" i="2"/>
  <c r="I31" i="2"/>
  <c r="H31" i="2"/>
  <c r="F30" i="2"/>
  <c r="F29" i="2"/>
  <c r="F28" i="2"/>
  <c r="E28" i="2"/>
  <c r="F27" i="2"/>
  <c r="G26" i="2"/>
  <c r="F26" i="2"/>
  <c r="G25" i="2"/>
  <c r="F25" i="2"/>
  <c r="E25" i="2"/>
  <c r="D25" i="2"/>
  <c r="F24" i="2"/>
  <c r="M23" i="2"/>
  <c r="L23" i="2"/>
  <c r="K23" i="2"/>
  <c r="J23" i="2"/>
  <c r="I23" i="2"/>
  <c r="H23" i="2"/>
  <c r="G23" i="2"/>
  <c r="M22" i="2"/>
  <c r="L22" i="2"/>
  <c r="K22" i="2"/>
  <c r="J22" i="2"/>
  <c r="I22" i="2"/>
  <c r="H22" i="2"/>
  <c r="E21" i="2"/>
  <c r="M20" i="2"/>
  <c r="L20" i="2"/>
  <c r="K20" i="2"/>
  <c r="J20" i="2"/>
  <c r="I20" i="2"/>
  <c r="H20" i="2"/>
  <c r="G20" i="2"/>
  <c r="F20" i="2"/>
  <c r="M19" i="2"/>
  <c r="L19" i="2"/>
  <c r="K19" i="2"/>
  <c r="J19" i="2"/>
  <c r="I19" i="2"/>
  <c r="H19" i="2"/>
  <c r="G19" i="2"/>
  <c r="F19" i="2"/>
  <c r="M18" i="2"/>
  <c r="L18" i="2"/>
  <c r="K18" i="2"/>
  <c r="J18" i="2"/>
  <c r="I18" i="2"/>
  <c r="H18" i="2"/>
  <c r="M17" i="2"/>
  <c r="L17" i="2"/>
  <c r="K17" i="2"/>
  <c r="J17" i="2"/>
  <c r="I17" i="2"/>
  <c r="H17" i="2"/>
  <c r="G17" i="2"/>
  <c r="F17" i="2"/>
  <c r="E17" i="2"/>
  <c r="D17" i="2"/>
  <c r="C17" i="2"/>
  <c r="B17" i="2"/>
  <c r="M16" i="2"/>
  <c r="L16" i="2"/>
  <c r="K16" i="2"/>
  <c r="J16" i="2"/>
  <c r="I16" i="2"/>
  <c r="H16" i="2"/>
  <c r="G16" i="2"/>
  <c r="M15" i="2"/>
  <c r="L15" i="2"/>
  <c r="L40" i="2" s="1"/>
  <c r="L40" i="1" s="1"/>
  <c r="K15" i="2"/>
  <c r="J15" i="2"/>
  <c r="I15" i="2"/>
  <c r="H15" i="2"/>
  <c r="M14" i="2"/>
  <c r="L14" i="2"/>
  <c r="K14" i="2"/>
  <c r="J14" i="2"/>
  <c r="I14" i="2"/>
  <c r="H14" i="2"/>
  <c r="G14" i="2"/>
  <c r="F14" i="2"/>
  <c r="F40" i="2" s="1"/>
  <c r="F40" i="1" s="1"/>
  <c r="E14" i="2"/>
  <c r="M13" i="2"/>
  <c r="L13" i="2"/>
  <c r="K13" i="2"/>
  <c r="J13" i="2"/>
  <c r="I13" i="2"/>
  <c r="H13" i="2"/>
  <c r="G13" i="2"/>
  <c r="F13" i="2"/>
  <c r="E13" i="2"/>
  <c r="D13" i="2"/>
  <c r="C13" i="2"/>
  <c r="B13" i="2"/>
  <c r="C12" i="2"/>
  <c r="B12" i="2"/>
  <c r="E11" i="2"/>
  <c r="D11" i="2"/>
  <c r="C11" i="2"/>
  <c r="B11" i="2"/>
  <c r="M10" i="2"/>
  <c r="L10" i="2"/>
  <c r="K10" i="2"/>
  <c r="J10" i="2"/>
  <c r="I10" i="2"/>
  <c r="H10" i="2"/>
  <c r="H37" i="2" s="1"/>
  <c r="G10" i="2"/>
  <c r="F10" i="2"/>
  <c r="E10" i="2"/>
  <c r="D10" i="2"/>
  <c r="E9" i="2"/>
  <c r="D9" i="2"/>
  <c r="C9" i="2"/>
  <c r="B9" i="2"/>
  <c r="E8" i="2"/>
  <c r="D8" i="2"/>
  <c r="C8" i="2"/>
  <c r="B8" i="2"/>
  <c r="E7" i="2"/>
  <c r="D7" i="2"/>
  <c r="C7" i="2"/>
  <c r="B7" i="2"/>
  <c r="E6" i="2"/>
  <c r="D6" i="2"/>
  <c r="C6" i="2"/>
  <c r="B6" i="2"/>
  <c r="M5" i="2"/>
  <c r="L5" i="2"/>
  <c r="K5" i="2"/>
  <c r="J5" i="2"/>
  <c r="I5" i="2"/>
  <c r="H5" i="2"/>
  <c r="G5" i="2"/>
  <c r="F5" i="2"/>
  <c r="M4" i="2"/>
  <c r="M40" i="2" s="1"/>
  <c r="M40" i="1" s="1"/>
  <c r="L4" i="2"/>
  <c r="K4" i="2"/>
  <c r="K40" i="2" s="1"/>
  <c r="K40" i="1" s="1"/>
  <c r="J4" i="2"/>
  <c r="I4" i="2"/>
  <c r="I40" i="2" s="1"/>
  <c r="I40" i="1" s="1"/>
  <c r="H4" i="2"/>
  <c r="H40" i="2" s="1"/>
  <c r="H40" i="1" s="1"/>
  <c r="G4" i="2"/>
  <c r="G40" i="2" s="1"/>
  <c r="G40" i="1" s="1"/>
  <c r="F4" i="2"/>
  <c r="M3" i="2"/>
  <c r="M38" i="2" s="1"/>
  <c r="L3" i="2"/>
  <c r="L37" i="2" s="1"/>
  <c r="K3" i="2"/>
  <c r="K37" i="2" s="1"/>
  <c r="J3" i="2"/>
  <c r="J37" i="2" s="1"/>
  <c r="I3" i="2"/>
  <c r="I37" i="2" s="1"/>
  <c r="H3" i="2"/>
  <c r="H38" i="2" s="1"/>
  <c r="G3" i="2"/>
  <c r="G38" i="2" s="1"/>
  <c r="F3" i="2"/>
  <c r="E3" i="2"/>
  <c r="E38" i="2" s="1"/>
  <c r="D3" i="2"/>
  <c r="D37" i="2" s="1"/>
  <c r="C3" i="2"/>
  <c r="C37" i="2" s="1"/>
  <c r="B3" i="2"/>
  <c r="B37" i="2" s="1"/>
  <c r="F39" i="1"/>
  <c r="M3" i="1"/>
  <c r="DZ2" i="26" s="1"/>
  <c r="K73" i="32" l="1"/>
  <c r="K94" i="32" s="1"/>
  <c r="J98" i="32"/>
  <c r="J96" i="32"/>
  <c r="M3" i="32"/>
  <c r="J88" i="32"/>
  <c r="K88" i="32" s="1"/>
  <c r="J80" i="32"/>
  <c r="K80" i="32" s="1"/>
  <c r="J90" i="32"/>
  <c r="K90" i="32" s="1"/>
  <c r="J82" i="32"/>
  <c r="K82" i="32" s="1"/>
  <c r="B3" i="30"/>
  <c r="B59" i="30" s="1"/>
  <c r="B37" i="1"/>
  <c r="F4" i="30"/>
  <c r="F60" i="30" s="1"/>
  <c r="F22" i="3"/>
  <c r="C3" i="30"/>
  <c r="C59" i="30" s="1"/>
  <c r="C37" i="1"/>
  <c r="K3" i="30"/>
  <c r="K59" i="30" s="1"/>
  <c r="K37" i="1"/>
  <c r="E5" i="30"/>
  <c r="E61" i="30" s="1"/>
  <c r="B42" i="5"/>
  <c r="M19" i="30"/>
  <c r="M67" i="30" s="1"/>
  <c r="J43" i="5"/>
  <c r="C6" i="30"/>
  <c r="C62" i="30" s="1"/>
  <c r="C48" i="7"/>
  <c r="I6" i="30"/>
  <c r="I62" i="30" s="1"/>
  <c r="I48" i="7"/>
  <c r="E17" i="30"/>
  <c r="E65" i="30" s="1"/>
  <c r="E38" i="1"/>
  <c r="I4" i="30"/>
  <c r="I60" i="30" s="1"/>
  <c r="I22" i="3"/>
  <c r="J5" i="30"/>
  <c r="J61" i="30" s="1"/>
  <c r="G42" i="5"/>
  <c r="B20" i="30"/>
  <c r="B68" i="30" s="1"/>
  <c r="B49" i="7"/>
  <c r="J20" i="30"/>
  <c r="J68" i="30" s="1"/>
  <c r="J49" i="7"/>
  <c r="F6" i="30"/>
  <c r="F62" i="30" s="1"/>
  <c r="F48" i="7"/>
  <c r="J3" i="30"/>
  <c r="J59" i="30" s="1"/>
  <c r="J37" i="1"/>
  <c r="J18" i="30"/>
  <c r="J66" i="30" s="1"/>
  <c r="J23" i="3"/>
  <c r="L3" i="30"/>
  <c r="L59" i="30" s="1"/>
  <c r="L37" i="1"/>
  <c r="I19" i="30"/>
  <c r="I67" i="30" s="1"/>
  <c r="F43" i="5"/>
  <c r="M17" i="30"/>
  <c r="M65" i="30" s="1"/>
  <c r="M38" i="1"/>
  <c r="J4" i="30"/>
  <c r="J60" i="30" s="1"/>
  <c r="J22" i="3"/>
  <c r="L9" i="30"/>
  <c r="L76" i="30" s="1"/>
  <c r="N44" i="10"/>
  <c r="H3" i="30"/>
  <c r="H59" i="30" s="1"/>
  <c r="H37" i="1"/>
  <c r="L19" i="30"/>
  <c r="L67" i="30" s="1"/>
  <c r="I43" i="5"/>
  <c r="D3" i="30"/>
  <c r="D59" i="30" s="1"/>
  <c r="D37" i="1"/>
  <c r="F5" i="30"/>
  <c r="F61" i="30" s="1"/>
  <c r="C42" i="5"/>
  <c r="G17" i="30"/>
  <c r="G65" i="30" s="1"/>
  <c r="G38" i="1"/>
  <c r="C18" i="30"/>
  <c r="C66" i="30" s="1"/>
  <c r="C23" i="3"/>
  <c r="K4" i="30"/>
  <c r="K60" i="30" s="1"/>
  <c r="K22" i="3"/>
  <c r="G20" i="30"/>
  <c r="G68" i="30" s="1"/>
  <c r="G49" i="7"/>
  <c r="H17" i="30"/>
  <c r="H65" i="30" s="1"/>
  <c r="H38" i="1"/>
  <c r="I3" i="30"/>
  <c r="I59" i="30" s="1"/>
  <c r="I37" i="1"/>
  <c r="E18" i="30"/>
  <c r="E66" i="30" s="1"/>
  <c r="E23" i="3"/>
  <c r="F19" i="30"/>
  <c r="F67" i="30" s="1"/>
  <c r="C43" i="5"/>
  <c r="G52" i="15"/>
  <c r="G52" i="14" s="1"/>
  <c r="H39" i="2"/>
  <c r="H39" i="1" s="1"/>
  <c r="L22" i="4"/>
  <c r="H23" i="4"/>
  <c r="H24" i="4"/>
  <c r="H24" i="3" s="1"/>
  <c r="D43" i="6"/>
  <c r="C44" i="6"/>
  <c r="C44" i="5" s="1"/>
  <c r="C45" i="6"/>
  <c r="C45" i="5" s="1"/>
  <c r="H49" i="7"/>
  <c r="F49" i="8"/>
  <c r="B48" i="8"/>
  <c r="J48" i="8"/>
  <c r="K6" i="30"/>
  <c r="K62" i="30" s="1"/>
  <c r="K48" i="7"/>
  <c r="I31" i="9"/>
  <c r="I29" i="9"/>
  <c r="I30" i="9" s="1"/>
  <c r="I23" i="9"/>
  <c r="M47" i="11"/>
  <c r="M47" i="10" s="1"/>
  <c r="M45" i="11"/>
  <c r="F35" i="12"/>
  <c r="I38" i="13"/>
  <c r="I38" i="12" s="1"/>
  <c r="C36" i="13"/>
  <c r="Q4" i="26"/>
  <c r="M4" i="26" s="1"/>
  <c r="L4" i="26" s="1"/>
  <c r="C25" i="15"/>
  <c r="C49" i="15" s="1"/>
  <c r="C49" i="14" s="1"/>
  <c r="K51" i="15"/>
  <c r="K51" i="14" s="1"/>
  <c r="E4" i="15"/>
  <c r="Z19" i="9"/>
  <c r="AA19" i="9"/>
  <c r="E37" i="2"/>
  <c r="M37" i="2"/>
  <c r="I38" i="2"/>
  <c r="I39" i="2"/>
  <c r="I39" i="1" s="1"/>
  <c r="M22" i="4"/>
  <c r="I23" i="4"/>
  <c r="J25" i="4"/>
  <c r="J25" i="3" s="1"/>
  <c r="E43" i="6"/>
  <c r="D44" i="6"/>
  <c r="D44" i="5" s="1"/>
  <c r="H13" i="6"/>
  <c r="I42" i="6"/>
  <c r="G45" i="6"/>
  <c r="G45" i="5" s="1"/>
  <c r="H44" i="10"/>
  <c r="F45" i="11"/>
  <c r="C45" i="11"/>
  <c r="E9" i="30"/>
  <c r="E76" i="30" s="1"/>
  <c r="F44" i="10"/>
  <c r="BI5" i="26"/>
  <c r="BD5" i="26" s="1"/>
  <c r="I17" i="15"/>
  <c r="O38" i="13"/>
  <c r="O38" i="12" s="1"/>
  <c r="J37" i="13"/>
  <c r="J37" i="12" s="1"/>
  <c r="C8" i="30"/>
  <c r="C75" i="30" s="1"/>
  <c r="C35" i="12"/>
  <c r="G37" i="2"/>
  <c r="C38" i="2"/>
  <c r="K38" i="2"/>
  <c r="K39" i="2"/>
  <c r="K39" i="1" s="1"/>
  <c r="G22" i="4"/>
  <c r="K23" i="4"/>
  <c r="K24" i="4"/>
  <c r="K24" i="3" s="1"/>
  <c r="G43" i="6"/>
  <c r="B43" i="6"/>
  <c r="I45" i="6"/>
  <c r="I45" i="5" s="1"/>
  <c r="L48" i="7"/>
  <c r="I49" i="8"/>
  <c r="AB19" i="9"/>
  <c r="D31" i="9"/>
  <c r="D29" i="9"/>
  <c r="D30" i="9" s="1"/>
  <c r="O17" i="11"/>
  <c r="O17" i="14"/>
  <c r="E45" i="11"/>
  <c r="CG5" i="26"/>
  <c r="CB5" i="26" s="1"/>
  <c r="K17" i="15"/>
  <c r="K49" i="15" s="1"/>
  <c r="D36" i="13"/>
  <c r="D36" i="12" s="1"/>
  <c r="N18" i="15"/>
  <c r="H22" i="4"/>
  <c r="H42" i="6"/>
  <c r="I45" i="11"/>
  <c r="K4" i="14"/>
  <c r="K4" i="13"/>
  <c r="L17" i="14"/>
  <c r="L10" i="13"/>
  <c r="L35" i="13" s="1"/>
  <c r="J36" i="13"/>
  <c r="E36" i="13"/>
  <c r="AW5" i="26"/>
  <c r="H17" i="15"/>
  <c r="DQ10" i="26"/>
  <c r="C24" i="30"/>
  <c r="C86" i="30" s="1"/>
  <c r="C32" i="16"/>
  <c r="L38" i="2"/>
  <c r="L23" i="4"/>
  <c r="F37" i="1"/>
  <c r="B38" i="1"/>
  <c r="J38" i="1"/>
  <c r="M39" i="2"/>
  <c r="M39" i="1" s="1"/>
  <c r="M23" i="4"/>
  <c r="C49" i="8"/>
  <c r="K49" i="8"/>
  <c r="M49" i="8"/>
  <c r="F31" i="9"/>
  <c r="F29" i="9"/>
  <c r="F30" i="9" s="1"/>
  <c r="C44" i="11"/>
  <c r="B45" i="11"/>
  <c r="L29" i="12"/>
  <c r="L29" i="13" s="1"/>
  <c r="DE5" i="26"/>
  <c r="M17" i="15"/>
  <c r="K36" i="13"/>
  <c r="H38" i="13"/>
  <c r="H38" i="12" s="1"/>
  <c r="J17" i="14"/>
  <c r="I25" i="15"/>
  <c r="M5" i="30"/>
  <c r="M61" i="30" s="1"/>
  <c r="J42" i="5"/>
  <c r="E20" i="30"/>
  <c r="E68" i="30" s="1"/>
  <c r="E49" i="7"/>
  <c r="F38" i="2"/>
  <c r="F23" i="4"/>
  <c r="F24" i="4"/>
  <c r="F24" i="3" s="1"/>
  <c r="F25" i="4"/>
  <c r="F25" i="3" s="1"/>
  <c r="D42" i="6"/>
  <c r="H43" i="6"/>
  <c r="D48" i="7"/>
  <c r="D49" i="8"/>
  <c r="L20" i="30"/>
  <c r="L68" i="30" s="1"/>
  <c r="L49" i="7"/>
  <c r="H6" i="30"/>
  <c r="H62" i="30" s="1"/>
  <c r="H48" i="7"/>
  <c r="O22" i="11"/>
  <c r="O3" i="11"/>
  <c r="O33" i="11"/>
  <c r="O43" i="11"/>
  <c r="O25" i="11"/>
  <c r="O4" i="11"/>
  <c r="P43" i="10"/>
  <c r="I23" i="30"/>
  <c r="I85" i="30" s="1"/>
  <c r="K45" i="10"/>
  <c r="F23" i="30"/>
  <c r="F85" i="30" s="1"/>
  <c r="H45" i="10"/>
  <c r="AL10" i="26"/>
  <c r="F17" i="15"/>
  <c r="DQ5" i="26"/>
  <c r="DL5" i="26" s="1"/>
  <c r="N17" i="15"/>
  <c r="K29" i="12"/>
  <c r="K29" i="13" s="1"/>
  <c r="L36" i="13"/>
  <c r="G38" i="13"/>
  <c r="G38" i="12" s="1"/>
  <c r="H35" i="13"/>
  <c r="DE14" i="26"/>
  <c r="CZ14" i="26" s="1"/>
  <c r="M4" i="15"/>
  <c r="O19" i="14"/>
  <c r="O19" i="15" s="1"/>
  <c r="BC8" i="26"/>
  <c r="Q13" i="26"/>
  <c r="C26" i="15"/>
  <c r="G12" i="30"/>
  <c r="G79" i="30" s="1"/>
  <c r="G40" i="21"/>
  <c r="D38" i="1"/>
  <c r="G39" i="2"/>
  <c r="G39" i="1" s="1"/>
  <c r="G23" i="4"/>
  <c r="G24" i="4"/>
  <c r="G24" i="3" s="1"/>
  <c r="B45" i="6"/>
  <c r="B45" i="5" s="1"/>
  <c r="J45" i="6"/>
  <c r="J45" i="5" s="1"/>
  <c r="E42" i="6"/>
  <c r="D45" i="6"/>
  <c r="D45" i="5" s="1"/>
  <c r="E48" i="7"/>
  <c r="G48" i="8"/>
  <c r="B44" i="10"/>
  <c r="D44" i="11"/>
  <c r="D44" i="10" s="1"/>
  <c r="D45" i="11"/>
  <c r="D45" i="10" s="1"/>
  <c r="L47" i="11"/>
  <c r="L47" i="10" s="1"/>
  <c r="L44" i="11"/>
  <c r="L45" i="11"/>
  <c r="L46" i="11"/>
  <c r="L46" i="10" s="1"/>
  <c r="I44" i="11"/>
  <c r="J45" i="11"/>
  <c r="M36" i="13"/>
  <c r="H37" i="13"/>
  <c r="H37" i="12" s="1"/>
  <c r="J10" i="13"/>
  <c r="J35" i="13" s="1"/>
  <c r="N38" i="13"/>
  <c r="N38" i="12" s="1"/>
  <c r="O36" i="13"/>
  <c r="AA8" i="26"/>
  <c r="E26" i="15"/>
  <c r="DE3" i="26"/>
  <c r="M26" i="15"/>
  <c r="M52" i="15" s="1"/>
  <c r="M52" i="14" s="1"/>
  <c r="AW7" i="26"/>
  <c r="AR7" i="26" s="1"/>
  <c r="AQ7" i="26" s="1"/>
  <c r="H29" i="15"/>
  <c r="C25" i="30"/>
  <c r="C87" i="30" s="1"/>
  <c r="C44" i="19"/>
  <c r="AK4" i="28"/>
  <c r="AK2" i="28"/>
  <c r="AI2" i="28" s="1"/>
  <c r="DD2" i="27"/>
  <c r="DB2" i="27" s="1"/>
  <c r="DA2" i="27" s="1"/>
  <c r="EC2" i="26"/>
  <c r="DY2" i="26" s="1"/>
  <c r="DX2" i="26" s="1"/>
  <c r="G29" i="9"/>
  <c r="G30" i="9" s="1"/>
  <c r="M44" i="11"/>
  <c r="G45" i="11"/>
  <c r="G45" i="10" s="1"/>
  <c r="G10" i="13"/>
  <c r="G36" i="13" s="1"/>
  <c r="G36" i="12" s="1"/>
  <c r="O10" i="13"/>
  <c r="O35" i="13" s="1"/>
  <c r="F36" i="13"/>
  <c r="J38" i="13"/>
  <c r="J38" i="12" s="1"/>
  <c r="D50" i="15"/>
  <c r="L4" i="14"/>
  <c r="G17" i="14"/>
  <c r="G17" i="15" s="1"/>
  <c r="G50" i="15" s="1"/>
  <c r="AW8" i="26"/>
  <c r="AR8" i="26" s="1"/>
  <c r="AQ8" i="26" s="1"/>
  <c r="H25" i="15"/>
  <c r="G10" i="26"/>
  <c r="C10" i="26" s="1"/>
  <c r="B10" i="26" s="1"/>
  <c r="B26" i="15"/>
  <c r="J26" i="15"/>
  <c r="BU3" i="26"/>
  <c r="BP3" i="26" s="1"/>
  <c r="DE6" i="26"/>
  <c r="CZ6" i="26" s="1"/>
  <c r="CY6" i="26" s="1"/>
  <c r="M29" i="15"/>
  <c r="B32" i="17"/>
  <c r="F25" i="30"/>
  <c r="F87" i="30" s="1"/>
  <c r="F44" i="19"/>
  <c r="D49" i="15"/>
  <c r="M32" i="17"/>
  <c r="G10" i="30"/>
  <c r="G77" i="30" s="1"/>
  <c r="G31" i="16"/>
  <c r="G25" i="30"/>
  <c r="G87" i="30" s="1"/>
  <c r="G44" i="19"/>
  <c r="AF41" i="26"/>
  <c r="E13" i="30" s="1"/>
  <c r="E32" i="30" s="1"/>
  <c r="AF40" i="26"/>
  <c r="E31" i="30" s="1"/>
  <c r="CA4" i="26"/>
  <c r="R33" i="27"/>
  <c r="D38" i="30" s="1"/>
  <c r="N34" i="11"/>
  <c r="N47" i="11" s="1"/>
  <c r="N47" i="10" s="1"/>
  <c r="D29" i="12"/>
  <c r="D29" i="13" s="1"/>
  <c r="I10" i="13"/>
  <c r="E35" i="13"/>
  <c r="M35" i="13"/>
  <c r="H36" i="13"/>
  <c r="F37" i="13"/>
  <c r="F37" i="12" s="1"/>
  <c r="L38" i="13"/>
  <c r="L38" i="12" s="1"/>
  <c r="AL25" i="26"/>
  <c r="AG25" i="26" s="1"/>
  <c r="AF25" i="26" s="1"/>
  <c r="F4" i="15"/>
  <c r="BU8" i="26"/>
  <c r="BP8" i="26" s="1"/>
  <c r="J5" i="15"/>
  <c r="J20" i="15"/>
  <c r="BU7" i="26"/>
  <c r="BP7" i="26" s="1"/>
  <c r="G4" i="26"/>
  <c r="C4" i="26" s="1"/>
  <c r="B4" i="26" s="1"/>
  <c r="B42" i="26" s="1"/>
  <c r="B33" i="30" s="1"/>
  <c r="B25" i="15"/>
  <c r="B50" i="15" s="1"/>
  <c r="B50" i="14" s="1"/>
  <c r="BU10" i="26"/>
  <c r="BP10" i="26" s="1"/>
  <c r="J25" i="15"/>
  <c r="CS3" i="26"/>
  <c r="CN3" i="26" s="1"/>
  <c r="CM3" i="26" s="1"/>
  <c r="L26" i="15"/>
  <c r="AL5" i="28"/>
  <c r="AI5" i="28" s="1"/>
  <c r="DE6" i="27"/>
  <c r="ED6" i="26"/>
  <c r="DY6" i="26" s="1"/>
  <c r="DX6" i="26" s="1"/>
  <c r="AL7" i="28"/>
  <c r="AI7" i="28" s="1"/>
  <c r="DE10" i="27"/>
  <c r="DB10" i="27" s="1"/>
  <c r="DA10" i="27" s="1"/>
  <c r="ED10" i="26"/>
  <c r="O40" i="15"/>
  <c r="F25" i="15"/>
  <c r="D32" i="17"/>
  <c r="I31" i="17"/>
  <c r="H25" i="30"/>
  <c r="H87" i="30" s="1"/>
  <c r="H44" i="19"/>
  <c r="B31" i="16"/>
  <c r="G32" i="17"/>
  <c r="E32" i="17"/>
  <c r="I11" i="30"/>
  <c r="I78" i="30" s="1"/>
  <c r="I43" i="19"/>
  <c r="G43" i="20"/>
  <c r="CA15" i="26"/>
  <c r="K44" i="10"/>
  <c r="N46" i="11"/>
  <c r="N46" i="10" s="1"/>
  <c r="F29" i="12"/>
  <c r="F29" i="13" s="1"/>
  <c r="N29" i="12"/>
  <c r="N29" i="13" s="1"/>
  <c r="G35" i="13"/>
  <c r="G35" i="12" s="1"/>
  <c r="AW18" i="26"/>
  <c r="AR18" i="26" s="1"/>
  <c r="AQ18" i="26" s="1"/>
  <c r="H40" i="15"/>
  <c r="L29" i="15"/>
  <c r="H32" i="17"/>
  <c r="F32" i="17"/>
  <c r="I32" i="17"/>
  <c r="C31" i="17"/>
  <c r="B11" i="30"/>
  <c r="B78" i="30" s="1"/>
  <c r="B43" i="19"/>
  <c r="J43" i="20"/>
  <c r="C41" i="22"/>
  <c r="C40" i="22"/>
  <c r="BC3" i="26"/>
  <c r="BI16" i="26"/>
  <c r="BD16" i="26" s="1"/>
  <c r="I4" i="15"/>
  <c r="AW20" i="26"/>
  <c r="AR20" i="26" s="1"/>
  <c r="AQ20" i="26" s="1"/>
  <c r="H16" i="15"/>
  <c r="AW25" i="26"/>
  <c r="AR25" i="26" s="1"/>
  <c r="AQ25" i="26" s="1"/>
  <c r="H21" i="15"/>
  <c r="AA4" i="26"/>
  <c r="W4" i="26" s="1"/>
  <c r="E25" i="15"/>
  <c r="E49" i="15" s="1"/>
  <c r="DE7" i="26"/>
  <c r="CZ7" i="26" s="1"/>
  <c r="CG8" i="26"/>
  <c r="CB8" i="26" s="1"/>
  <c r="M25" i="15"/>
  <c r="DE3" i="27"/>
  <c r="AL4" i="28"/>
  <c r="ED3" i="26"/>
  <c r="DY3" i="26" s="1"/>
  <c r="DX3" i="26" s="1"/>
  <c r="O26" i="15"/>
  <c r="BU6" i="26"/>
  <c r="BP6" i="26" s="1"/>
  <c r="BO6" i="26" s="1"/>
  <c r="J29" i="15"/>
  <c r="H4" i="15"/>
  <c r="L25" i="15"/>
  <c r="N26" i="15"/>
  <c r="C41" i="15"/>
  <c r="E31" i="16"/>
  <c r="G41" i="22"/>
  <c r="D41" i="22"/>
  <c r="L42" i="26"/>
  <c r="C33" i="30" s="1"/>
  <c r="L41" i="26"/>
  <c r="C13" i="30" s="1"/>
  <c r="C32" i="30" s="1"/>
  <c r="L40" i="26"/>
  <c r="C31" i="30" s="1"/>
  <c r="CZ5" i="26"/>
  <c r="DE2" i="27"/>
  <c r="AL2" i="28"/>
  <c r="ED2" i="26"/>
  <c r="J52" i="15"/>
  <c r="J52" i="14" s="1"/>
  <c r="J4" i="15"/>
  <c r="H31" i="16"/>
  <c r="M31" i="17"/>
  <c r="D25" i="30"/>
  <c r="D87" i="30" s="1"/>
  <c r="D44" i="19"/>
  <c r="L11" i="30"/>
  <c r="L78" i="30" s="1"/>
  <c r="L43" i="19"/>
  <c r="C11" i="30"/>
  <c r="C78" i="30" s="1"/>
  <c r="C43" i="19"/>
  <c r="H12" i="30"/>
  <c r="H79" i="30" s="1"/>
  <c r="H40" i="21"/>
  <c r="F10" i="13"/>
  <c r="N10" i="13"/>
  <c r="N35" i="13" s="1"/>
  <c r="Q34" i="26"/>
  <c r="M34" i="26" s="1"/>
  <c r="L34" i="26" s="1"/>
  <c r="C4" i="15"/>
  <c r="C50" i="15" s="1"/>
  <c r="C50" i="14" s="1"/>
  <c r="DE5" i="27"/>
  <c r="O18" i="15"/>
  <c r="O52" i="15" s="1"/>
  <c r="O52" i="14" s="1"/>
  <c r="G51" i="15"/>
  <c r="G51" i="14" s="1"/>
  <c r="G49" i="15"/>
  <c r="DE7" i="27"/>
  <c r="DB7" i="27" s="1"/>
  <c r="DA7" i="27" s="1"/>
  <c r="AL6" i="28"/>
  <c r="AI6" i="28" s="1"/>
  <c r="ED7" i="26"/>
  <c r="DY7" i="26" s="1"/>
  <c r="DX7" i="26" s="1"/>
  <c r="O25" i="15"/>
  <c r="I26" i="15"/>
  <c r="BI4" i="26"/>
  <c r="J31" i="16"/>
  <c r="J32" i="17"/>
  <c r="K4" i="17"/>
  <c r="K31" i="17" s="1"/>
  <c r="D10" i="30"/>
  <c r="D77" i="30" s="1"/>
  <c r="D31" i="16"/>
  <c r="F10" i="30"/>
  <c r="F77" i="30" s="1"/>
  <c r="F31" i="16"/>
  <c r="E44" i="20"/>
  <c r="M44" i="20"/>
  <c r="I44" i="20"/>
  <c r="D11" i="30"/>
  <c r="D78" i="30" s="1"/>
  <c r="D43" i="19"/>
  <c r="CY18" i="26"/>
  <c r="E43" i="20"/>
  <c r="M43" i="20"/>
  <c r="E40" i="22"/>
  <c r="E41" i="22"/>
  <c r="M40" i="22"/>
  <c r="M41" i="22"/>
  <c r="K27" i="22"/>
  <c r="CM40" i="26"/>
  <c r="J31" i="30" s="1"/>
  <c r="CY8" i="26"/>
  <c r="DL10" i="26"/>
  <c r="BC29" i="26"/>
  <c r="BM33" i="27"/>
  <c r="I38" i="30" s="1"/>
  <c r="BM34" i="27"/>
  <c r="DB6" i="27"/>
  <c r="DA6" i="27" s="1"/>
  <c r="B13" i="27"/>
  <c r="B10" i="27"/>
  <c r="B32" i="27"/>
  <c r="B24" i="27"/>
  <c r="B19" i="27"/>
  <c r="B4" i="27"/>
  <c r="B16" i="27"/>
  <c r="B6" i="27"/>
  <c r="M40" i="15"/>
  <c r="L3" i="17"/>
  <c r="F43" i="20"/>
  <c r="B44" i="20"/>
  <c r="J44" i="20"/>
  <c r="F40" i="22"/>
  <c r="F41" i="22"/>
  <c r="B41" i="22"/>
  <c r="B40" i="22"/>
  <c r="K14" i="22"/>
  <c r="K16" i="22"/>
  <c r="K18" i="22"/>
  <c r="D40" i="22"/>
  <c r="H41" i="22"/>
  <c r="BP2" i="26"/>
  <c r="CZ4" i="26"/>
  <c r="CY4" i="26" s="1"/>
  <c r="V5" i="26"/>
  <c r="DL6" i="26"/>
  <c r="CM16" i="26"/>
  <c r="CZ20" i="26"/>
  <c r="V21" i="26"/>
  <c r="V26" i="26"/>
  <c r="J33" i="27"/>
  <c r="C38" i="30" s="1"/>
  <c r="B23" i="27"/>
  <c r="N48" i="14"/>
  <c r="K12" i="20"/>
  <c r="K43" i="20" s="1"/>
  <c r="H43" i="20"/>
  <c r="L44" i="20"/>
  <c r="K20" i="22"/>
  <c r="L41" i="22"/>
  <c r="B40" i="26"/>
  <c r="B31" i="30" s="1"/>
  <c r="B41" i="26"/>
  <c r="B13" i="30" s="1"/>
  <c r="B32" i="30" s="1"/>
  <c r="BD2" i="26"/>
  <c r="BC2" i="26" s="1"/>
  <c r="CB2" i="26"/>
  <c r="CA2" i="26" s="1"/>
  <c r="DL3" i="26"/>
  <c r="BP18" i="26"/>
  <c r="BC20" i="26"/>
  <c r="BC23" i="26"/>
  <c r="K29" i="15"/>
  <c r="I41" i="22"/>
  <c r="I40" i="22"/>
  <c r="K30" i="22"/>
  <c r="W8" i="26"/>
  <c r="V8" i="26" s="1"/>
  <c r="BC9" i="26"/>
  <c r="DY10" i="26"/>
  <c r="DX10" i="26" s="1"/>
  <c r="M13" i="26"/>
  <c r="L13" i="26" s="1"/>
  <c r="Z36" i="27"/>
  <c r="Z35" i="27"/>
  <c r="E40" i="30" s="1"/>
  <c r="AI35" i="27"/>
  <c r="F40" i="30" s="1"/>
  <c r="J41" i="22"/>
  <c r="J40" i="22"/>
  <c r="K15" i="22"/>
  <c r="K17" i="22"/>
  <c r="K29" i="22"/>
  <c r="K39" i="22"/>
  <c r="AQ43" i="26"/>
  <c r="F27" i="30" s="1"/>
  <c r="F34" i="30" s="1"/>
  <c r="AQ40" i="26"/>
  <c r="F31" i="30" s="1"/>
  <c r="CZ3" i="26"/>
  <c r="AR5" i="26"/>
  <c r="AQ5" i="26" s="1"/>
  <c r="AQ41" i="26" s="1"/>
  <c r="F13" i="30" s="1"/>
  <c r="F32" i="30" s="1"/>
  <c r="V6" i="26"/>
  <c r="AG10" i="26"/>
  <c r="AF10" i="26" s="1"/>
  <c r="AF42" i="26" s="1"/>
  <c r="E33" i="30" s="1"/>
  <c r="AQ39" i="26"/>
  <c r="AQ21" i="26"/>
  <c r="L26" i="26"/>
  <c r="L17" i="26"/>
  <c r="L12" i="26"/>
  <c r="L43" i="26" s="1"/>
  <c r="C27" i="30" s="1"/>
  <c r="C34" i="30" s="1"/>
  <c r="L15" i="26"/>
  <c r="L39" i="26"/>
  <c r="L25" i="26"/>
  <c r="L18" i="26"/>
  <c r="Z16" i="28"/>
  <c r="Z15" i="28"/>
  <c r="Z12" i="28"/>
  <c r="Z10" i="28"/>
  <c r="Z6" i="28"/>
  <c r="Z4" i="28"/>
  <c r="Z13" i="28"/>
  <c r="Z11" i="28"/>
  <c r="Z5" i="28"/>
  <c r="CA3" i="26"/>
  <c r="K22" i="21"/>
  <c r="K22" i="22" s="1"/>
  <c r="K3" i="22"/>
  <c r="CA7" i="26"/>
  <c r="DL8" i="26"/>
  <c r="CB9" i="26"/>
  <c r="CA9" i="26" s="1"/>
  <c r="V12" i="26"/>
  <c r="L20" i="26"/>
  <c r="BC24" i="26"/>
  <c r="Z3" i="28"/>
  <c r="DG20" i="26"/>
  <c r="K28" i="22"/>
  <c r="K21" i="22"/>
  <c r="K31" i="22"/>
  <c r="K24" i="22"/>
  <c r="K19" i="22"/>
  <c r="K13" i="22"/>
  <c r="K11" i="22"/>
  <c r="K9" i="22"/>
  <c r="K7" i="22"/>
  <c r="K5" i="22"/>
  <c r="K34" i="22"/>
  <c r="K32" i="22"/>
  <c r="K25" i="22"/>
  <c r="K8" i="22"/>
  <c r="K23" i="22"/>
  <c r="DL2" i="26"/>
  <c r="BD4" i="26"/>
  <c r="BC4" i="26" s="1"/>
  <c r="CN10" i="26"/>
  <c r="CM10" i="26" s="1"/>
  <c r="CY12" i="26"/>
  <c r="CY15" i="26"/>
  <c r="CB16" i="26"/>
  <c r="CB17" i="26"/>
  <c r="CA6" i="26" s="1"/>
  <c r="M19" i="26"/>
  <c r="L19" i="26" s="1"/>
  <c r="V28" i="26"/>
  <c r="AF27" i="26"/>
  <c r="AF39" i="26"/>
  <c r="AF22" i="26"/>
  <c r="AF20" i="26"/>
  <c r="AF17" i="26"/>
  <c r="AF19" i="26"/>
  <c r="AF13" i="26"/>
  <c r="V33" i="26"/>
  <c r="B3" i="27"/>
  <c r="B9" i="27"/>
  <c r="B11" i="27"/>
  <c r="L14" i="26"/>
  <c r="B16" i="26"/>
  <c r="B23" i="26"/>
  <c r="BC28" i="26"/>
  <c r="CQ7" i="27"/>
  <c r="B15" i="27"/>
  <c r="R32" i="27"/>
  <c r="R11" i="27"/>
  <c r="R8" i="27"/>
  <c r="R18" i="27"/>
  <c r="R6" i="27"/>
  <c r="R25" i="27"/>
  <c r="R22" i="27"/>
  <c r="R15" i="27"/>
  <c r="R4" i="27"/>
  <c r="R35" i="27" s="1"/>
  <c r="D40" i="30" s="1"/>
  <c r="CG36" i="27"/>
  <c r="DY14" i="26"/>
  <c r="DX14" i="26" s="1"/>
  <c r="AR16" i="26"/>
  <c r="AQ16" i="26" s="1"/>
  <c r="DX18" i="26"/>
  <c r="B20" i="26"/>
  <c r="L23" i="26"/>
  <c r="CQ18" i="27"/>
  <c r="R24" i="27"/>
  <c r="J13" i="28"/>
  <c r="J11" i="28"/>
  <c r="J7" i="28"/>
  <c r="J3" i="28"/>
  <c r="J15" i="28"/>
  <c r="J2" i="28"/>
  <c r="BP12" i="26"/>
  <c r="B15" i="26"/>
  <c r="DX17" i="26"/>
  <c r="M27" i="26"/>
  <c r="L27" i="26" s="1"/>
  <c r="L32" i="26"/>
  <c r="BW34" i="27"/>
  <c r="BW33" i="27"/>
  <c r="J38" i="30" s="1"/>
  <c r="BW17" i="27"/>
  <c r="BW13" i="27"/>
  <c r="BW10" i="27"/>
  <c r="BW9" i="27"/>
  <c r="BW18" i="27"/>
  <c r="BW8" i="27"/>
  <c r="AS12" i="27"/>
  <c r="AS9" i="27"/>
  <c r="AS32" i="27"/>
  <c r="AS19" i="27"/>
  <c r="AS14" i="27"/>
  <c r="Z14" i="28"/>
  <c r="BC19" i="26"/>
  <c r="EC21" i="26"/>
  <c r="EC22" i="26" s="1"/>
  <c r="V29" i="26"/>
  <c r="L31" i="26"/>
  <c r="V32" i="26"/>
  <c r="CG35" i="27"/>
  <c r="K40" i="30" s="1"/>
  <c r="CG34" i="27"/>
  <c r="DB5" i="27"/>
  <c r="DA5" i="27" s="1"/>
  <c r="B7" i="27"/>
  <c r="J12" i="28"/>
  <c r="L104" i="29"/>
  <c r="L111" i="29"/>
  <c r="L110" i="29"/>
  <c r="AQ14" i="26"/>
  <c r="BC15" i="26"/>
  <c r="DX15" i="26"/>
  <c r="AQ17" i="26"/>
  <c r="CM19" i="26"/>
  <c r="ED21" i="26"/>
  <c r="L24" i="26"/>
  <c r="V25" i="26"/>
  <c r="BD30" i="26"/>
  <c r="BC25" i="26" s="1"/>
  <c r="B18" i="27"/>
  <c r="CQ32" i="27"/>
  <c r="CQ8" i="27"/>
  <c r="CQ14" i="27"/>
  <c r="CQ5" i="27"/>
  <c r="CQ4" i="27"/>
  <c r="CQ2" i="27"/>
  <c r="B22" i="27"/>
  <c r="B22" i="28"/>
  <c r="B21" i="28"/>
  <c r="CZ10" i="26"/>
  <c r="CY10" i="26" s="1"/>
  <c r="V11" i="26"/>
  <c r="BC14" i="26"/>
  <c r="V19" i="26"/>
  <c r="AF21" i="26"/>
  <c r="AQ23" i="26"/>
  <c r="B12" i="27"/>
  <c r="I109" i="29"/>
  <c r="I104" i="29" s="1"/>
  <c r="J32" i="27"/>
  <c r="J12" i="27"/>
  <c r="J9" i="27"/>
  <c r="G96" i="29"/>
  <c r="DB3" i="27"/>
  <c r="DA3" i="27" s="1"/>
  <c r="J5" i="27"/>
  <c r="J34" i="27" s="1"/>
  <c r="J6" i="27"/>
  <c r="J7" i="27"/>
  <c r="J8" i="27"/>
  <c r="R12" i="27"/>
  <c r="BW12" i="27"/>
  <c r="B14" i="27"/>
  <c r="BW16" i="27"/>
  <c r="B17" i="27"/>
  <c r="J18" i="27"/>
  <c r="Z32" i="27"/>
  <c r="Z17" i="27"/>
  <c r="Z7" i="27"/>
  <c r="J9" i="28"/>
  <c r="F29" i="29"/>
  <c r="F54" i="29"/>
  <c r="F59" i="29" s="1"/>
  <c r="AF28" i="26"/>
  <c r="AF29" i="26"/>
  <c r="W34" i="26"/>
  <c r="V14" i="26" s="1"/>
  <c r="AS2" i="27"/>
  <c r="J3" i="27"/>
  <c r="J35" i="27" s="1"/>
  <c r="C40" i="30" s="1"/>
  <c r="BC3" i="27"/>
  <c r="BC33" i="27" s="1"/>
  <c r="H38" i="30" s="1"/>
  <c r="BC4" i="27"/>
  <c r="BC36" i="27" s="1"/>
  <c r="BC5" i="27"/>
  <c r="BC6" i="27"/>
  <c r="CQ6" i="27"/>
  <c r="BW7" i="27"/>
  <c r="BW35" i="27" s="1"/>
  <c r="J40" i="30" s="1"/>
  <c r="R9" i="27"/>
  <c r="Z12" i="27"/>
  <c r="J13" i="27"/>
  <c r="J14" i="27"/>
  <c r="BM7" i="27"/>
  <c r="BM36" i="27" s="1"/>
  <c r="BM32" i="27"/>
  <c r="Z16" i="27"/>
  <c r="J17" i="27"/>
  <c r="J8" i="28"/>
  <c r="M23" i="29"/>
  <c r="M63" i="29" s="1"/>
  <c r="M44" i="29"/>
  <c r="M50" i="29" s="1"/>
  <c r="G59" i="29"/>
  <c r="H65" i="29"/>
  <c r="H29" i="29"/>
  <c r="B50" i="29"/>
  <c r="J50" i="29"/>
  <c r="G50" i="29"/>
  <c r="G110" i="29"/>
  <c r="G104" i="29"/>
  <c r="G111" i="29"/>
  <c r="B17" i="26"/>
  <c r="L33" i="26"/>
  <c r="B2" i="27"/>
  <c r="Z4" i="27"/>
  <c r="Z33" i="27" s="1"/>
  <c r="E38" i="30" s="1"/>
  <c r="R5" i="27"/>
  <c r="R34" i="27" s="1"/>
  <c r="R7" i="27"/>
  <c r="Z8" i="27"/>
  <c r="J10" i="27"/>
  <c r="AS11" i="27"/>
  <c r="CQ11" i="27"/>
  <c r="BC14" i="27"/>
  <c r="Z15" i="27"/>
  <c r="J19" i="27"/>
  <c r="B20" i="27"/>
  <c r="AI13" i="27"/>
  <c r="AI10" i="27"/>
  <c r="AI34" i="27" s="1"/>
  <c r="J24" i="27"/>
  <c r="R23" i="28"/>
  <c r="R21" i="28"/>
  <c r="H59" i="29"/>
  <c r="C29" i="29"/>
  <c r="H110" i="29"/>
  <c r="H111" i="29"/>
  <c r="B15" i="28"/>
  <c r="G29" i="29"/>
  <c r="C50" i="29"/>
  <c r="K50" i="29"/>
  <c r="J111" i="29"/>
  <c r="J110" i="29"/>
  <c r="Z8" i="28"/>
  <c r="B29" i="29"/>
  <c r="J29" i="29"/>
  <c r="G39" i="29"/>
  <c r="G40" i="29" s="1"/>
  <c r="D50" i="29"/>
  <c r="L50" i="29"/>
  <c r="E59" i="29"/>
  <c r="K111" i="29"/>
  <c r="K110" i="29"/>
  <c r="Z9" i="28"/>
  <c r="M13" i="29"/>
  <c r="M19" i="29"/>
  <c r="F96" i="29"/>
  <c r="H39" i="29"/>
  <c r="H40" i="29" s="1"/>
  <c r="I59" i="29"/>
  <c r="Z2" i="28"/>
  <c r="J14" i="28"/>
  <c r="M20" i="29"/>
  <c r="M55" i="29" s="1"/>
  <c r="M35" i="29"/>
  <c r="M39" i="29" s="1"/>
  <c r="M40" i="29" s="1"/>
  <c r="D29" i="29"/>
  <c r="D54" i="29"/>
  <c r="D59" i="29" s="1"/>
  <c r="L29" i="29"/>
  <c r="L54" i="29"/>
  <c r="L59" i="29" s="1"/>
  <c r="K29" i="29"/>
  <c r="J54" i="29"/>
  <c r="J59" i="29" s="1"/>
  <c r="M111" i="29"/>
  <c r="M110" i="29"/>
  <c r="B14" i="28"/>
  <c r="B9" i="28"/>
  <c r="B23" i="28" s="1"/>
  <c r="E29" i="29"/>
  <c r="L69" i="29"/>
  <c r="B96" i="29"/>
  <c r="M24" i="29"/>
  <c r="M64" i="29" s="1"/>
  <c r="F111" i="29"/>
  <c r="F110" i="29"/>
  <c r="E96" i="29"/>
  <c r="J104" i="29"/>
  <c r="K104" i="29"/>
  <c r="M104" i="29"/>
  <c r="F104" i="29"/>
  <c r="M30" i="32" l="1"/>
  <c r="N3" i="32"/>
  <c r="N28" i="32" s="1"/>
  <c r="M32" i="32"/>
  <c r="D39" i="30"/>
  <c r="E42" i="27"/>
  <c r="E21" i="30"/>
  <c r="E83" i="30" s="1"/>
  <c r="G50" i="14"/>
  <c r="H8" i="30"/>
  <c r="H75" i="30" s="1"/>
  <c r="J35" i="12"/>
  <c r="J50" i="15"/>
  <c r="CM42" i="26"/>
  <c r="J33" i="30" s="1"/>
  <c r="DX40" i="26"/>
  <c r="M31" i="30" s="1"/>
  <c r="F39" i="30"/>
  <c r="G42" i="27"/>
  <c r="H41" i="30"/>
  <c r="H40" i="27"/>
  <c r="M8" i="30"/>
  <c r="M75" i="30" s="1"/>
  <c r="O35" i="12"/>
  <c r="J8" i="30"/>
  <c r="J75" i="30" s="1"/>
  <c r="L35" i="12"/>
  <c r="C39" i="30"/>
  <c r="C42" i="27"/>
  <c r="I41" i="30"/>
  <c r="I40" i="27"/>
  <c r="K11" i="30"/>
  <c r="K78" i="30" s="1"/>
  <c r="K43" i="19"/>
  <c r="K10" i="30"/>
  <c r="K77" i="30" s="1"/>
  <c r="K31" i="16"/>
  <c r="I7" i="30"/>
  <c r="I74" i="30" s="1"/>
  <c r="K49" i="14"/>
  <c r="J11" i="30"/>
  <c r="J78" i="30" s="1"/>
  <c r="J43" i="19"/>
  <c r="F49" i="15"/>
  <c r="F51" i="15"/>
  <c r="F51" i="14" s="1"/>
  <c r="D8" i="30"/>
  <c r="D75" i="30" s="1"/>
  <c r="E35" i="12"/>
  <c r="V23" i="26"/>
  <c r="B24" i="30"/>
  <c r="B86" i="30" s="1"/>
  <c r="B32" i="16"/>
  <c r="DA34" i="27"/>
  <c r="M39" i="30" s="1"/>
  <c r="DA36" i="27"/>
  <c r="M41" i="30" s="1"/>
  <c r="DA33" i="27"/>
  <c r="M38" i="30" s="1"/>
  <c r="DA35" i="27"/>
  <c r="M40" i="30" s="1"/>
  <c r="I51" i="15"/>
  <c r="I51" i="14" s="1"/>
  <c r="I49" i="15"/>
  <c r="C20" i="30"/>
  <c r="C68" i="30" s="1"/>
  <c r="C49" i="7"/>
  <c r="D22" i="30"/>
  <c r="D84" i="30" s="1"/>
  <c r="E36" i="12"/>
  <c r="H4" i="30"/>
  <c r="H60" i="30" s="1"/>
  <c r="H22" i="3"/>
  <c r="D23" i="30"/>
  <c r="D85" i="30" s="1"/>
  <c r="E45" i="10"/>
  <c r="C17" i="30"/>
  <c r="C65" i="30" s="1"/>
  <c r="C38" i="1"/>
  <c r="M4" i="30"/>
  <c r="M60" i="30" s="1"/>
  <c r="M22" i="3"/>
  <c r="J6" i="30"/>
  <c r="J62" i="30" s="1"/>
  <c r="J48" i="7"/>
  <c r="H18" i="30"/>
  <c r="H66" i="30" s="1"/>
  <c r="H23" i="3"/>
  <c r="K23" i="30"/>
  <c r="K85" i="30" s="1"/>
  <c r="M45" i="10"/>
  <c r="B6" i="30"/>
  <c r="B62" i="30" s="1"/>
  <c r="B48" i="7"/>
  <c r="L4" i="30"/>
  <c r="L60" i="30" s="1"/>
  <c r="L22" i="3"/>
  <c r="DK10" i="26"/>
  <c r="BO39" i="26"/>
  <c r="BO15" i="26"/>
  <c r="BO17" i="26"/>
  <c r="BO9" i="26"/>
  <c r="BO13" i="26"/>
  <c r="B12" i="30"/>
  <c r="B79" i="30" s="1"/>
  <c r="B40" i="21"/>
  <c r="L8" i="30"/>
  <c r="L75" i="30" s="1"/>
  <c r="N35" i="12"/>
  <c r="L51" i="15"/>
  <c r="L51" i="14" s="1"/>
  <c r="BU5" i="26"/>
  <c r="BP5" i="26" s="1"/>
  <c r="BO5" i="26" s="1"/>
  <c r="J17" i="15"/>
  <c r="G3" i="30"/>
  <c r="G59" i="30" s="1"/>
  <c r="G37" i="1"/>
  <c r="V22" i="26"/>
  <c r="BO16" i="26"/>
  <c r="BO4" i="26"/>
  <c r="Z34" i="27"/>
  <c r="I12" i="30"/>
  <c r="I79" i="30" s="1"/>
  <c r="I40" i="21"/>
  <c r="B43" i="26"/>
  <c r="B27" i="30" s="1"/>
  <c r="B34" i="30" s="1"/>
  <c r="DQ19" i="26"/>
  <c r="DL19" i="26" s="1"/>
  <c r="N3" i="15"/>
  <c r="N25" i="15"/>
  <c r="N29" i="15"/>
  <c r="N38" i="15"/>
  <c r="N35" i="15"/>
  <c r="N48" i="15"/>
  <c r="CY19" i="26"/>
  <c r="CY17" i="26"/>
  <c r="CY9" i="26"/>
  <c r="CY13" i="26"/>
  <c r="CY39" i="26"/>
  <c r="B26" i="30"/>
  <c r="B88" i="30" s="1"/>
  <c r="B41" i="21"/>
  <c r="E12" i="30"/>
  <c r="E79" i="30" s="1"/>
  <c r="E40" i="21"/>
  <c r="M25" i="30"/>
  <c r="M87" i="30" s="1"/>
  <c r="M44" i="19"/>
  <c r="H52" i="15"/>
  <c r="H52" i="14" s="1"/>
  <c r="H50" i="15"/>
  <c r="M51" i="15"/>
  <c r="M51" i="14" s="1"/>
  <c r="M49" i="15"/>
  <c r="BC10" i="26"/>
  <c r="CA12" i="26"/>
  <c r="J51" i="15"/>
  <c r="J51" i="14" s="1"/>
  <c r="J49" i="15"/>
  <c r="F50" i="15"/>
  <c r="F52" i="15"/>
  <c r="F52" i="14" s="1"/>
  <c r="M24" i="30"/>
  <c r="M86" i="30" s="1"/>
  <c r="M32" i="16"/>
  <c r="N42" i="15"/>
  <c r="H49" i="15"/>
  <c r="H51" i="15"/>
  <c r="H51" i="14" s="1"/>
  <c r="AI4" i="28"/>
  <c r="H23" i="30"/>
  <c r="H85" i="30" s="1"/>
  <c r="J45" i="10"/>
  <c r="G18" i="30"/>
  <c r="G66" i="30" s="1"/>
  <c r="G23" i="3"/>
  <c r="F18" i="30"/>
  <c r="F66" i="30" s="1"/>
  <c r="F23" i="3"/>
  <c r="C9" i="30"/>
  <c r="C76" i="30" s="1"/>
  <c r="C44" i="10"/>
  <c r="K32" i="17"/>
  <c r="J19" i="30"/>
  <c r="J67" i="30" s="1"/>
  <c r="G43" i="5"/>
  <c r="BC5" i="26"/>
  <c r="L5" i="30"/>
  <c r="L61" i="30" s="1"/>
  <c r="I42" i="5"/>
  <c r="I17" i="30"/>
  <c r="I65" i="30" s="1"/>
  <c r="I38" i="1"/>
  <c r="F20" i="30"/>
  <c r="F68" i="30" s="1"/>
  <c r="F49" i="7"/>
  <c r="E41" i="30"/>
  <c r="D40" i="27"/>
  <c r="E26" i="30"/>
  <c r="E88" i="30" s="1"/>
  <c r="E41" i="21"/>
  <c r="BO14" i="26"/>
  <c r="I35" i="13"/>
  <c r="I36" i="13"/>
  <c r="AH2" i="28"/>
  <c r="K22" i="30"/>
  <c r="K84" i="30" s="1"/>
  <c r="M36" i="12"/>
  <c r="B23" i="30"/>
  <c r="B85" i="30" s="1"/>
  <c r="B45" i="10"/>
  <c r="M29" i="29"/>
  <c r="M54" i="29"/>
  <c r="M59" i="29" s="1"/>
  <c r="M69" i="29"/>
  <c r="BC35" i="27"/>
  <c r="H40" i="30" s="1"/>
  <c r="V20" i="26"/>
  <c r="BO12" i="26"/>
  <c r="CA39" i="26"/>
  <c r="CA11" i="26"/>
  <c r="CA10" i="26"/>
  <c r="CY3" i="26"/>
  <c r="V18" i="26"/>
  <c r="I26" i="30"/>
  <c r="I88" i="30" s="1"/>
  <c r="I41" i="21"/>
  <c r="V10" i="26"/>
  <c r="BO2" i="26"/>
  <c r="F26" i="30"/>
  <c r="F88" i="30" s="1"/>
  <c r="F41" i="21"/>
  <c r="I39" i="30"/>
  <c r="I42" i="27"/>
  <c r="M11" i="30"/>
  <c r="M78" i="30" s="1"/>
  <c r="M43" i="19"/>
  <c r="E25" i="30"/>
  <c r="E87" i="30" s="1"/>
  <c r="E44" i="19"/>
  <c r="E7" i="30"/>
  <c r="E74" i="30" s="1"/>
  <c r="G49" i="14"/>
  <c r="CY2" i="26"/>
  <c r="D26" i="30"/>
  <c r="D88" i="30" s="1"/>
  <c r="D41" i="21"/>
  <c r="BC12" i="26"/>
  <c r="CA8" i="26"/>
  <c r="CA42" i="26" s="1"/>
  <c r="I33" i="30" s="1"/>
  <c r="I50" i="15"/>
  <c r="I52" i="15"/>
  <c r="I52" i="14" s="1"/>
  <c r="BC6" i="26"/>
  <c r="BC42" i="26" s="1"/>
  <c r="G33" i="30" s="1"/>
  <c r="G11" i="30"/>
  <c r="G78" i="30" s="1"/>
  <c r="G43" i="19"/>
  <c r="BO10" i="26"/>
  <c r="AF43" i="26"/>
  <c r="E27" i="30" s="1"/>
  <c r="E34" i="30" s="1"/>
  <c r="M50" i="15"/>
  <c r="N33" i="15"/>
  <c r="K44" i="20"/>
  <c r="G9" i="30"/>
  <c r="G76" i="30" s="1"/>
  <c r="I44" i="10"/>
  <c r="G6" i="30"/>
  <c r="G62" i="30" s="1"/>
  <c r="G48" i="7"/>
  <c r="F17" i="30"/>
  <c r="F65" i="30" s="1"/>
  <c r="F38" i="1"/>
  <c r="N36" i="15"/>
  <c r="N40" i="15"/>
  <c r="CS5" i="26"/>
  <c r="CN5" i="26" s="1"/>
  <c r="CM5" i="26" s="1"/>
  <c r="CM43" i="26" s="1"/>
  <c r="J27" i="30" s="1"/>
  <c r="J34" i="30" s="1"/>
  <c r="L17" i="15"/>
  <c r="L49" i="15" s="1"/>
  <c r="H44" i="6"/>
  <c r="H44" i="5" s="1"/>
  <c r="H45" i="6"/>
  <c r="H45" i="5" s="1"/>
  <c r="M3" i="30"/>
  <c r="M59" i="30" s="1"/>
  <c r="M37" i="1"/>
  <c r="Z23" i="28"/>
  <c r="Z21" i="28"/>
  <c r="Z22" i="28"/>
  <c r="BC41" i="26"/>
  <c r="G13" i="30" s="1"/>
  <c r="G32" i="30" s="1"/>
  <c r="BC40" i="26"/>
  <c r="G31" i="30" s="1"/>
  <c r="L31" i="17"/>
  <c r="L32" i="17"/>
  <c r="I110" i="29"/>
  <c r="I111" i="29"/>
  <c r="DK8" i="26"/>
  <c r="I25" i="30"/>
  <c r="I87" i="30" s="1"/>
  <c r="I44" i="19"/>
  <c r="BO8" i="26"/>
  <c r="E22" i="30"/>
  <c r="E84" i="30" s="1"/>
  <c r="F36" i="12"/>
  <c r="M18" i="30"/>
  <c r="M66" i="30" s="1"/>
  <c r="M23" i="3"/>
  <c r="H22" i="30"/>
  <c r="H84" i="30" s="1"/>
  <c r="J36" i="12"/>
  <c r="AL3" i="28"/>
  <c r="AI3" i="28" s="1"/>
  <c r="ED5" i="26"/>
  <c r="DY5" i="26" s="1"/>
  <c r="DX5" i="26" s="1"/>
  <c r="DX43" i="26" s="1"/>
  <c r="M27" i="30" s="1"/>
  <c r="M34" i="30" s="1"/>
  <c r="O17" i="15"/>
  <c r="O50" i="15" s="1"/>
  <c r="E19" i="30"/>
  <c r="E67" i="30" s="1"/>
  <c r="B43" i="5"/>
  <c r="AS36" i="27"/>
  <c r="AS33" i="27"/>
  <c r="G38" i="30" s="1"/>
  <c r="AS35" i="27"/>
  <c r="G40" i="30" s="1"/>
  <c r="AS34" i="27"/>
  <c r="BW36" i="27"/>
  <c r="J22" i="28"/>
  <c r="J21" i="28"/>
  <c r="J23" i="28"/>
  <c r="BC34" i="27"/>
  <c r="K41" i="30"/>
  <c r="M40" i="27"/>
  <c r="V15" i="26"/>
  <c r="CA16" i="26"/>
  <c r="J12" i="30"/>
  <c r="J79" i="30" s="1"/>
  <c r="J40" i="21"/>
  <c r="CA13" i="26"/>
  <c r="CY16" i="26"/>
  <c r="H26" i="30"/>
  <c r="H88" i="30" s="1"/>
  <c r="H41" i="21"/>
  <c r="F12" i="30"/>
  <c r="F79" i="30" s="1"/>
  <c r="F40" i="21"/>
  <c r="BM35" i="27"/>
  <c r="I40" i="30" s="1"/>
  <c r="E11" i="30"/>
  <c r="E78" i="30" s="1"/>
  <c r="E43" i="19"/>
  <c r="M10" i="30"/>
  <c r="M77" i="30" s="1"/>
  <c r="M31" i="16"/>
  <c r="G26" i="30"/>
  <c r="G88" i="30" s="1"/>
  <c r="G41" i="21"/>
  <c r="CY7" i="26"/>
  <c r="BC16" i="26"/>
  <c r="BC43" i="26" s="1"/>
  <c r="G27" i="30" s="1"/>
  <c r="G34" i="30" s="1"/>
  <c r="C10" i="30"/>
  <c r="C77" i="30" s="1"/>
  <c r="C31" i="16"/>
  <c r="B49" i="15"/>
  <c r="B49" i="14" s="1"/>
  <c r="B7" i="30"/>
  <c r="B74" i="30" s="1"/>
  <c r="D49" i="14"/>
  <c r="N19" i="15"/>
  <c r="CY14" i="26"/>
  <c r="D20" i="30"/>
  <c r="D68" i="30" s="1"/>
  <c r="D49" i="7"/>
  <c r="K37" i="13"/>
  <c r="K37" i="12" s="1"/>
  <c r="K35" i="13"/>
  <c r="K38" i="13"/>
  <c r="K38" i="12" s="1"/>
  <c r="K18" i="30"/>
  <c r="K66" i="30" s="1"/>
  <c r="K23" i="3"/>
  <c r="E3" i="30"/>
  <c r="E59" i="30" s="1"/>
  <c r="E37" i="1"/>
  <c r="V27" i="26"/>
  <c r="CQ35" i="27"/>
  <c r="L40" i="30" s="1"/>
  <c r="CQ34" i="27"/>
  <c r="CQ36" i="27"/>
  <c r="CQ33" i="27"/>
  <c r="L38" i="30" s="1"/>
  <c r="H11" i="30"/>
  <c r="H78" i="30" s="1"/>
  <c r="H43" i="19"/>
  <c r="M12" i="30"/>
  <c r="M79" i="30" s="1"/>
  <c r="M40" i="21"/>
  <c r="AI36" i="27"/>
  <c r="J24" i="30"/>
  <c r="J86" i="30" s="1"/>
  <c r="J32" i="16"/>
  <c r="K39" i="30"/>
  <c r="M42" i="27"/>
  <c r="J39" i="30"/>
  <c r="J42" i="27"/>
  <c r="AQ42" i="26"/>
  <c r="F33" i="30" s="1"/>
  <c r="J36" i="27"/>
  <c r="J25" i="30"/>
  <c r="J87" i="30" s="1"/>
  <c r="J44" i="19"/>
  <c r="V2" i="26"/>
  <c r="C7" i="30"/>
  <c r="C74" i="30" s="1"/>
  <c r="E49" i="14"/>
  <c r="I24" i="30"/>
  <c r="I86" i="30" s="1"/>
  <c r="I32" i="16"/>
  <c r="I10" i="30"/>
  <c r="I77" i="30" s="1"/>
  <c r="I31" i="16"/>
  <c r="R36" i="27"/>
  <c r="K9" i="30"/>
  <c r="K76" i="30" s="1"/>
  <c r="M44" i="10"/>
  <c r="M22" i="30"/>
  <c r="M84" i="30" s="1"/>
  <c r="O36" i="12"/>
  <c r="J23" i="30"/>
  <c r="J85" i="30" s="1"/>
  <c r="L45" i="10"/>
  <c r="F8" i="30"/>
  <c r="F75" i="30" s="1"/>
  <c r="H35" i="12"/>
  <c r="I22" i="30"/>
  <c r="I84" i="30" s="1"/>
  <c r="K36" i="12"/>
  <c r="N37" i="15"/>
  <c r="CG14" i="26"/>
  <c r="CB14" i="26" s="1"/>
  <c r="CA14" i="26" s="1"/>
  <c r="K4" i="15"/>
  <c r="G4" i="30"/>
  <c r="G60" i="30" s="1"/>
  <c r="G22" i="3"/>
  <c r="C23" i="30"/>
  <c r="C85" i="30" s="1"/>
  <c r="C45" i="10"/>
  <c r="H19" i="30"/>
  <c r="H67" i="30" s="1"/>
  <c r="E43" i="5"/>
  <c r="C22" i="30"/>
  <c r="C84" i="30" s="1"/>
  <c r="C36" i="12"/>
  <c r="V30" i="26"/>
  <c r="V31" i="26"/>
  <c r="V24" i="26"/>
  <c r="V9" i="26"/>
  <c r="V3" i="26"/>
  <c r="V39" i="26"/>
  <c r="V7" i="26"/>
  <c r="V16" i="26"/>
  <c r="V17" i="26"/>
  <c r="J26" i="30"/>
  <c r="J88" i="30" s="1"/>
  <c r="J41" i="21"/>
  <c r="L26" i="30"/>
  <c r="L88" i="30" s="1"/>
  <c r="L41" i="21"/>
  <c r="D12" i="30"/>
  <c r="D79" i="30" s="1"/>
  <c r="D40" i="21"/>
  <c r="B35" i="27"/>
  <c r="B40" i="30" s="1"/>
  <c r="B36" i="27"/>
  <c r="B33" i="27"/>
  <c r="B38" i="30" s="1"/>
  <c r="B34" i="27"/>
  <c r="BC27" i="26"/>
  <c r="BC39" i="26"/>
  <c r="BC11" i="26"/>
  <c r="BC7" i="26"/>
  <c r="BC13" i="26"/>
  <c r="BC17" i="26"/>
  <c r="BC21" i="26"/>
  <c r="BC18" i="26"/>
  <c r="BC22" i="26"/>
  <c r="CY11" i="26"/>
  <c r="V13" i="26"/>
  <c r="K40" i="22"/>
  <c r="K41" i="22"/>
  <c r="DK3" i="26"/>
  <c r="B25" i="30"/>
  <c r="B87" i="30" s="1"/>
  <c r="B44" i="19"/>
  <c r="BO11" i="26"/>
  <c r="CY5" i="26"/>
  <c r="V4" i="26"/>
  <c r="C12" i="30"/>
  <c r="C79" i="30" s="1"/>
  <c r="C40" i="21"/>
  <c r="F24" i="30"/>
  <c r="F86" i="30" s="1"/>
  <c r="F32" i="16"/>
  <c r="E24" i="30"/>
  <c r="E86" i="30" s="1"/>
  <c r="E32" i="16"/>
  <c r="D24" i="30"/>
  <c r="D86" i="30" s="1"/>
  <c r="D32" i="16"/>
  <c r="BO7" i="26"/>
  <c r="F22" i="30"/>
  <c r="F84" i="30" s="1"/>
  <c r="H36" i="12"/>
  <c r="BO3" i="26"/>
  <c r="CS14" i="26"/>
  <c r="CN14" i="26" s="1"/>
  <c r="CM14" i="26" s="1"/>
  <c r="L4" i="15"/>
  <c r="N34" i="15"/>
  <c r="J9" i="30"/>
  <c r="J76" i="30" s="1"/>
  <c r="L44" i="10"/>
  <c r="H5" i="30"/>
  <c r="H61" i="30" s="1"/>
  <c r="E42" i="5"/>
  <c r="O46" i="11"/>
  <c r="O46" i="10" s="1"/>
  <c r="O47" i="11"/>
  <c r="O47" i="10" s="1"/>
  <c r="O44" i="11"/>
  <c r="O45" i="11"/>
  <c r="K19" i="30"/>
  <c r="K67" i="30" s="1"/>
  <c r="H43" i="5"/>
  <c r="M20" i="30"/>
  <c r="M68" i="30" s="1"/>
  <c r="M49" i="7"/>
  <c r="L18" i="30"/>
  <c r="L66" i="30" s="1"/>
  <c r="L23" i="3"/>
  <c r="G23" i="30"/>
  <c r="G85" i="30" s="1"/>
  <c r="I45" i="10"/>
  <c r="CA5" i="26"/>
  <c r="CA41" i="26" s="1"/>
  <c r="I13" i="30" s="1"/>
  <c r="I32" i="30" s="1"/>
  <c r="I20" i="30"/>
  <c r="I68" i="30" s="1"/>
  <c r="I49" i="7"/>
  <c r="N45" i="11"/>
  <c r="G19" i="30"/>
  <c r="G67" i="30" s="1"/>
  <c r="D43" i="5"/>
  <c r="CA40" i="26"/>
  <c r="I31" i="30" s="1"/>
  <c r="L25" i="30"/>
  <c r="L87" i="30" s="1"/>
  <c r="L44" i="19"/>
  <c r="F11" i="30"/>
  <c r="F78" i="30" s="1"/>
  <c r="F43" i="19"/>
  <c r="M26" i="30"/>
  <c r="M88" i="30" s="1"/>
  <c r="M41" i="21"/>
  <c r="O51" i="15"/>
  <c r="O51" i="14" s="1"/>
  <c r="C26" i="30"/>
  <c r="C88" i="30" s="1"/>
  <c r="C41" i="21"/>
  <c r="H24" i="30"/>
  <c r="H86" i="30" s="1"/>
  <c r="H32" i="16"/>
  <c r="G24" i="30"/>
  <c r="G86" i="30" s="1"/>
  <c r="G32" i="16"/>
  <c r="K8" i="30"/>
  <c r="K75" i="30" s="1"/>
  <c r="M35" i="12"/>
  <c r="B21" i="30"/>
  <c r="B83" i="30" s="1"/>
  <c r="D50" i="14"/>
  <c r="J22" i="30"/>
  <c r="J84" i="30" s="1"/>
  <c r="L36" i="12"/>
  <c r="G5" i="30"/>
  <c r="G61" i="30" s="1"/>
  <c r="D42" i="5"/>
  <c r="K20" i="30"/>
  <c r="K68" i="30" s="1"/>
  <c r="K49" i="7"/>
  <c r="L17" i="30"/>
  <c r="L65" i="30" s="1"/>
  <c r="L38" i="1"/>
  <c r="K5" i="30"/>
  <c r="K61" i="30" s="1"/>
  <c r="H42" i="5"/>
  <c r="K17" i="30"/>
  <c r="K65" i="30" s="1"/>
  <c r="K38" i="1"/>
  <c r="E23" i="30"/>
  <c r="E85" i="30" s="1"/>
  <c r="F45" i="10"/>
  <c r="I18" i="30"/>
  <c r="I66" i="30" s="1"/>
  <c r="I23" i="3"/>
  <c r="E50" i="15"/>
  <c r="N36" i="13"/>
  <c r="J7" i="30" l="1"/>
  <c r="J74" i="30" s="1"/>
  <c r="L49" i="14"/>
  <c r="M23" i="30"/>
  <c r="M85" i="30" s="1"/>
  <c r="O45" i="10"/>
  <c r="H7" i="30"/>
  <c r="H74" i="30" s="1"/>
  <c r="J49" i="14"/>
  <c r="L22" i="30"/>
  <c r="L84" i="30" s="1"/>
  <c r="N36" i="12"/>
  <c r="DK18" i="26"/>
  <c r="DK11" i="26"/>
  <c r="DK39" i="26"/>
  <c r="DK17" i="26"/>
  <c r="DK14" i="26"/>
  <c r="DK15" i="26"/>
  <c r="DK4" i="26"/>
  <c r="DK9" i="26"/>
  <c r="DK12" i="26"/>
  <c r="DK13" i="26"/>
  <c r="DK16" i="26"/>
  <c r="DK7" i="26"/>
  <c r="DX42" i="26"/>
  <c r="M33" i="30" s="1"/>
  <c r="H21" i="30"/>
  <c r="H83" i="30" s="1"/>
  <c r="J50" i="14"/>
  <c r="E50" i="14"/>
  <c r="C21" i="30"/>
  <c r="C83" i="30" s="1"/>
  <c r="B39" i="30"/>
  <c r="B42" i="27"/>
  <c r="V42" i="26"/>
  <c r="D33" i="30" s="1"/>
  <c r="V40" i="26"/>
  <c r="D31" i="30" s="1"/>
  <c r="V43" i="26"/>
  <c r="D27" i="30" s="1"/>
  <c r="D34" i="30" s="1"/>
  <c r="V41" i="26"/>
  <c r="D13" i="30" s="1"/>
  <c r="D32" i="30" s="1"/>
  <c r="G39" i="30"/>
  <c r="F42" i="27"/>
  <c r="AH3" i="28"/>
  <c r="F7" i="30"/>
  <c r="F74" i="30" s="1"/>
  <c r="H49" i="14"/>
  <c r="DX20" i="26"/>
  <c r="M21" i="30"/>
  <c r="M83" i="30" s="1"/>
  <c r="O50" i="14"/>
  <c r="AH4" i="28"/>
  <c r="J41" i="30"/>
  <c r="J40" i="27"/>
  <c r="DK6" i="26"/>
  <c r="BO19" i="26"/>
  <c r="E40" i="27"/>
  <c r="D41" i="30"/>
  <c r="L40" i="27"/>
  <c r="L41" i="30"/>
  <c r="AI22" i="28"/>
  <c r="DK5" i="26"/>
  <c r="D7" i="30"/>
  <c r="D74" i="30" s="1"/>
  <c r="F49" i="14"/>
  <c r="DX41" i="26"/>
  <c r="M13" i="30" s="1"/>
  <c r="M32" i="30" s="1"/>
  <c r="L10" i="30"/>
  <c r="L77" i="30" s="1"/>
  <c r="L31" i="16"/>
  <c r="M9" i="30"/>
  <c r="M76" i="30" s="1"/>
  <c r="O44" i="10"/>
  <c r="B41" i="30"/>
  <c r="B40" i="27"/>
  <c r="K7" i="30"/>
  <c r="K74" i="30" s="1"/>
  <c r="M49" i="14"/>
  <c r="K21" i="30"/>
  <c r="K83" i="30" s="1"/>
  <c r="M50" i="14"/>
  <c r="CA43" i="26"/>
  <c r="I27" i="30" s="1"/>
  <c r="I34" i="30" s="1"/>
  <c r="I8" i="30"/>
  <c r="I75" i="30" s="1"/>
  <c r="K35" i="12"/>
  <c r="CY40" i="26"/>
  <c r="K31" i="30" s="1"/>
  <c r="CY41" i="26"/>
  <c r="K13" i="30" s="1"/>
  <c r="K32" i="30" s="1"/>
  <c r="CY43" i="26"/>
  <c r="K27" i="30" s="1"/>
  <c r="K34" i="30" s="1"/>
  <c r="CY42" i="26"/>
  <c r="K33" i="30" s="1"/>
  <c r="K26" i="30"/>
  <c r="K88" i="30" s="1"/>
  <c r="K41" i="21"/>
  <c r="H39" i="30"/>
  <c r="H42" i="27"/>
  <c r="G41" i="30"/>
  <c r="F40" i="27"/>
  <c r="DK2" i="26"/>
  <c r="AI23" i="28"/>
  <c r="AH5" i="28" s="1"/>
  <c r="E39" i="30"/>
  <c r="D42" i="27"/>
  <c r="N50" i="15"/>
  <c r="N52" i="15"/>
  <c r="N52" i="14" s="1"/>
  <c r="L52" i="15"/>
  <c r="L52" i="14" s="1"/>
  <c r="L50" i="15"/>
  <c r="L23" i="30"/>
  <c r="L85" i="30" s="1"/>
  <c r="N45" i="10"/>
  <c r="L42" i="27"/>
  <c r="L39" i="30"/>
  <c r="C41" i="30"/>
  <c r="C40" i="27"/>
  <c r="F41" i="30"/>
  <c r="G40" i="27"/>
  <c r="K12" i="30"/>
  <c r="K79" i="30" s="1"/>
  <c r="K40" i="21"/>
  <c r="K50" i="15"/>
  <c r="K52" i="15"/>
  <c r="K52" i="14" s="1"/>
  <c r="K25" i="30"/>
  <c r="K87" i="30" s="1"/>
  <c r="K44" i="19"/>
  <c r="G22" i="30"/>
  <c r="G84" i="30" s="1"/>
  <c r="I36" i="12"/>
  <c r="K24" i="30"/>
  <c r="K86" i="30" s="1"/>
  <c r="K32" i="16"/>
  <c r="F21" i="30"/>
  <c r="F83" i="30" s="1"/>
  <c r="H50" i="14"/>
  <c r="CM41" i="26"/>
  <c r="J13" i="30" s="1"/>
  <c r="J32" i="30" s="1"/>
  <c r="O49" i="15"/>
  <c r="L24" i="30"/>
  <c r="L86" i="30" s="1"/>
  <c r="L32" i="16"/>
  <c r="G21" i="30"/>
  <c r="G83" i="30" s="1"/>
  <c r="I50" i="14"/>
  <c r="BO43" i="26"/>
  <c r="H27" i="30" s="1"/>
  <c r="H34" i="30" s="1"/>
  <c r="BO41" i="26"/>
  <c r="H13" i="30" s="1"/>
  <c r="H32" i="30" s="1"/>
  <c r="BO40" i="26"/>
  <c r="H31" i="30" s="1"/>
  <c r="BO42" i="26"/>
  <c r="H33" i="30" s="1"/>
  <c r="G8" i="30"/>
  <c r="G75" i="30" s="1"/>
  <c r="I35" i="12"/>
  <c r="D21" i="30"/>
  <c r="D83" i="30" s="1"/>
  <c r="F50" i="14"/>
  <c r="N51" i="15"/>
  <c r="N51" i="14" s="1"/>
  <c r="N49" i="15"/>
  <c r="G7" i="30"/>
  <c r="G74" i="30" s="1"/>
  <c r="I49" i="14"/>
  <c r="M7" i="30" l="1"/>
  <c r="M74" i="30" s="1"/>
  <c r="O49" i="14"/>
  <c r="L7" i="30"/>
  <c r="L74" i="30" s="1"/>
  <c r="N49" i="14"/>
  <c r="I21" i="30"/>
  <c r="I83" i="30" s="1"/>
  <c r="K50" i="14"/>
  <c r="DK42" i="26"/>
  <c r="L33" i="30" s="1"/>
  <c r="DK40" i="26"/>
  <c r="L31" i="30" s="1"/>
  <c r="DK20" i="26"/>
  <c r="DK43" i="26"/>
  <c r="L27" i="30" s="1"/>
  <c r="L34" i="30" s="1"/>
  <c r="DK41" i="26"/>
  <c r="L13" i="30" s="1"/>
  <c r="L32" i="30" s="1"/>
  <c r="J21" i="30"/>
  <c r="J83" i="30" s="1"/>
  <c r="L50" i="14"/>
  <c r="L21" i="30"/>
  <c r="L83" i="30" s="1"/>
  <c r="N50" i="14"/>
  <c r="AH14" i="28"/>
  <c r="AH9" i="28"/>
  <c r="AH15" i="28"/>
  <c r="AH13" i="28"/>
  <c r="AH8" i="28"/>
  <c r="AH16" i="28"/>
  <c r="AH11" i="28"/>
  <c r="AH12" i="28"/>
  <c r="AH10" i="28"/>
  <c r="AH6" i="28"/>
  <c r="AH7" i="28"/>
</calcChain>
</file>

<file path=xl/comments1.xml><?xml version="1.0" encoding="utf-8"?>
<comments xmlns="http://schemas.openxmlformats.org/spreadsheetml/2006/main">
  <authors>
    <author/>
  </authors>
  <commentList>
    <comment ref="F4" authorId="0">
      <text>
        <r>
          <rPr>
            <sz val="10"/>
            <color rgb="FF000000"/>
            <rFont val="Verdana"/>
          </rPr>
          <t xml:space="preserve">BCE Annual Report, 2000, p.20
</t>
        </r>
      </text>
    </comment>
    <comment ref="G4" authorId="0">
      <text>
        <r>
          <rPr>
            <sz val="10"/>
            <color rgb="FF000000"/>
            <rFont val="Verdana"/>
          </rPr>
          <t xml:space="preserve">BCE Annual Report, 2004, p.56
</t>
        </r>
      </text>
    </comment>
    <comment ref="H4" authorId="0">
      <text>
        <r>
          <rPr>
            <sz val="10"/>
            <color rgb="FF000000"/>
            <rFont val="Verdana"/>
          </rPr>
          <t xml:space="preserve">BCE Annual Report, 2010, pp.46-52
</t>
        </r>
      </text>
    </comment>
    <comment ref="I4" authorId="0">
      <text>
        <r>
          <rPr>
            <sz val="10"/>
            <color rgb="FF000000"/>
            <rFont val="Verdana"/>
          </rPr>
          <t xml:space="preserve">BCE Annual Report, 2010, pp.46-52
</t>
        </r>
      </text>
    </comment>
    <comment ref="J4" authorId="0">
      <text>
        <r>
          <rPr>
            <sz val="10"/>
            <color rgb="FF000000"/>
            <rFont val="Verdana"/>
          </rPr>
          <t xml:space="preserve">BCE Annual Report, 2012, pp. 43-48.
</t>
        </r>
      </text>
    </comment>
    <comment ref="K4" authorId="0">
      <text>
        <r>
          <rPr>
            <sz val="10"/>
            <color rgb="FF000000"/>
            <rFont val="Verdana"/>
          </rPr>
          <t xml:space="preserve">BCE Annual Report, 2013, p. 59.
</t>
        </r>
      </text>
    </comment>
    <comment ref="L4" authorId="0">
      <text>
        <r>
          <rPr>
            <sz val="10"/>
            <color rgb="FF000000"/>
            <rFont val="Verdana"/>
          </rPr>
          <t xml:space="preserve">BCE Annual Report, 2013, p. 59.
</t>
        </r>
      </text>
    </comment>
    <comment ref="M4" authorId="0">
      <text>
        <r>
          <rPr>
            <sz val="10"/>
            <color rgb="FF000000"/>
            <rFont val="Verdana"/>
          </rPr>
          <t>BCE Annual Report, 2014, p. 61.</t>
        </r>
      </text>
    </comment>
    <comment ref="F5" authorId="0">
      <text>
        <r>
          <rPr>
            <sz val="10"/>
            <color rgb="FF000000"/>
            <rFont val="Verdana"/>
          </rPr>
          <t xml:space="preserve">Bell Aliant Annual Report 2001, p. 21.
</t>
        </r>
      </text>
    </comment>
    <comment ref="G5" authorId="0">
      <text>
        <r>
          <rPr>
            <sz val="10"/>
            <color rgb="FF000000"/>
            <rFont val="Verdana"/>
          </rPr>
          <t xml:space="preserve">Bell Aliant Annual Report 2004, p. 31.
</t>
        </r>
      </text>
    </comment>
    <comment ref="H5" authorId="0">
      <text>
        <r>
          <rPr>
            <sz val="10"/>
            <color rgb="FF000000"/>
            <rFont val="Verdana"/>
          </rPr>
          <t xml:space="preserve">BCE Annual Report 2010, p. 52.
</t>
        </r>
      </text>
    </comment>
    <comment ref="I5" authorId="0">
      <text>
        <r>
          <rPr>
            <sz val="10"/>
            <color rgb="FF000000"/>
            <rFont val="Verdana"/>
          </rPr>
          <t xml:space="preserve">BCE Annual Report 2010, p. 52.
</t>
        </r>
      </text>
    </comment>
    <comment ref="J5" authorId="0">
      <text>
        <r>
          <rPr>
            <sz val="10"/>
            <color rgb="FF000000"/>
            <rFont val="Verdana"/>
          </rPr>
          <t xml:space="preserve">BCE Annual Report 2012, p.48.
</t>
        </r>
      </text>
    </comment>
    <comment ref="K5" authorId="0">
      <text>
        <r>
          <rPr>
            <sz val="10"/>
            <color rgb="FF000000"/>
            <rFont val="Verdana"/>
          </rPr>
          <t xml:space="preserve">BCE 2013 AR p. 72. 
</t>
        </r>
      </text>
    </comment>
    <comment ref="L5" authorId="0">
      <text>
        <r>
          <rPr>
            <sz val="10"/>
            <color rgb="FF000000"/>
            <rFont val="Verdana"/>
          </rPr>
          <t xml:space="preserve">BCE 2013 AR p. 72. 
</t>
        </r>
      </text>
    </comment>
    <comment ref="M5" authorId="0">
      <text>
        <r>
          <rPr>
            <sz val="10"/>
            <color rgb="FF000000"/>
            <rFont val="Verdana"/>
          </rPr>
          <t>BCE Annual Report, 2014, p. 74.</t>
        </r>
      </text>
    </comment>
    <comment ref="F10" authorId="0">
      <text>
        <r>
          <rPr>
            <sz val="10"/>
            <color rgb="FF000000"/>
            <rFont val="Verdana"/>
          </rPr>
          <t>Telus Annual Report 2001, p.40</t>
        </r>
      </text>
    </comment>
    <comment ref="G10" authorId="0">
      <text>
        <r>
          <rPr>
            <sz val="10"/>
            <color rgb="FF000000"/>
            <rFont val="Verdana"/>
          </rPr>
          <t>LR: (BK edit)
Telus Annual Report, Financial Review, 2004, p.22</t>
        </r>
      </text>
    </comment>
    <comment ref="H10" authorId="0">
      <text>
        <r>
          <rPr>
            <sz val="10"/>
            <color rgb="FF000000"/>
            <rFont val="Verdana"/>
          </rPr>
          <t>LR: (BK edit)
Telus Annual Report Financial Review, 2008, p. 34</t>
        </r>
      </text>
    </comment>
    <comment ref="I10" authorId="0">
      <text>
        <r>
          <rPr>
            <sz val="10"/>
            <color rgb="FF000000"/>
            <rFont val="Verdana"/>
          </rPr>
          <t>BK Telus, AR 2011, p. 64.</t>
        </r>
      </text>
    </comment>
    <comment ref="J10" authorId="0">
      <text>
        <r>
          <rPr>
            <sz val="10"/>
            <color rgb="FF000000"/>
            <rFont val="Verdana"/>
          </rPr>
          <t>BK Telus, AR 2011, p. 64.</t>
        </r>
      </text>
    </comment>
    <comment ref="K10" authorId="0">
      <text>
        <r>
          <rPr>
            <sz val="10"/>
            <color rgb="FF000000"/>
            <rFont val="Verdana"/>
          </rPr>
          <t xml:space="preserve">BK Telus, AR 2013, p. 66.
</t>
        </r>
      </text>
    </comment>
    <comment ref="L10" authorId="0">
      <text>
        <r>
          <rPr>
            <sz val="10"/>
            <color rgb="FF000000"/>
            <rFont val="Verdana"/>
          </rPr>
          <t xml:space="preserve">BK Telus, AR 2013, p. 66.
</t>
        </r>
      </text>
    </comment>
    <comment ref="M10" authorId="0">
      <text>
        <r>
          <rPr>
            <sz val="10"/>
            <color rgb="FF000000"/>
            <rFont val="Verdana"/>
          </rPr>
          <t>BK, Telus AR, 2014 p. 66</t>
        </r>
      </text>
    </comment>
    <comment ref="F13" authorId="0">
      <text>
        <r>
          <rPr>
            <sz val="10"/>
            <color rgb="FF000000"/>
            <rFont val="Verdana"/>
          </rPr>
          <t xml:space="preserve">MTS AR 2001, p. 36.
</t>
        </r>
      </text>
    </comment>
    <comment ref="H13" authorId="0">
      <text>
        <r>
          <rPr>
            <sz val="10"/>
            <color rgb="FF000000"/>
            <rFont val="Verdana"/>
          </rPr>
          <t xml:space="preserve">MTS, 2010 AR, pp. 16, 19.
</t>
        </r>
      </text>
    </comment>
    <comment ref="I13" authorId="0">
      <text>
        <r>
          <rPr>
            <sz val="10"/>
            <color rgb="FF000000"/>
            <rFont val="Verdana"/>
          </rPr>
          <t>Dwayne Winseck:
MTS Allstream Annual Report 2010, pp. 15-18 Includes all revenues except wireless, IPTV and Internet Access.</t>
        </r>
      </text>
    </comment>
    <comment ref="J13" authorId="0">
      <text>
        <r>
          <rPr>
            <sz val="10"/>
            <color rgb="FF000000"/>
            <rFont val="Verdana"/>
          </rPr>
          <t xml:space="preserve">MTS Allstream Annual Report 2012, pp. 15-18. Includes all revenues except wireless, IPTV and Internet Access. 
</t>
        </r>
      </text>
    </comment>
    <comment ref="K13" authorId="0">
      <text>
        <r>
          <rPr>
            <sz val="10"/>
            <color rgb="FF000000"/>
            <rFont val="Verdana"/>
          </rPr>
          <t xml:space="preserve">Dwayne Winseck:
MTS, 2013 AR, pp. 18+23. Includes all revenues except wireless, IPTV and Internet Access. </t>
        </r>
      </text>
    </comment>
    <comment ref="L13" authorId="0">
      <text>
        <r>
          <rPr>
            <sz val="10"/>
            <color rgb="FF000000"/>
            <rFont val="Verdana"/>
          </rPr>
          <t xml:space="preserve">MTS, 2013 AR, pp. 18+23.Includes all revenues except wireless, IPTV and Internet Access. 
</t>
        </r>
      </text>
    </comment>
    <comment ref="M13" authorId="0">
      <text>
        <r>
          <rPr>
            <sz val="10"/>
            <color rgb="FF000000"/>
            <rFont val="Verdana"/>
          </rPr>
          <t xml:space="preserve">MTS, 2014 AR, pp. 14+19.Includes all revenues except wireless, IPTV and Internet Access. </t>
        </r>
      </text>
    </comment>
    <comment ref="E14" authorId="0">
      <text>
        <r>
          <rPr>
            <sz val="10"/>
            <color rgb="FF000000"/>
            <rFont val="Verdana"/>
          </rPr>
          <t>Shaw AR 1998, p. 77.</t>
        </r>
      </text>
    </comment>
    <comment ref="H14" authorId="0">
      <text>
        <r>
          <rPr>
            <sz val="10"/>
            <color rgb="FF000000"/>
            <rFont val="Verdana"/>
          </rPr>
          <t>829,717 subs (Shaw AR 2009, p. 43) * Rogers ARPU of $49.13 * 12.</t>
        </r>
      </text>
    </comment>
    <comment ref="I14" authorId="0">
      <text>
        <r>
          <rPr>
            <sz val="10"/>
            <color rgb="FF000000"/>
            <rFont val="Verdana"/>
          </rPr>
          <t xml:space="preserve">1,096,507 subs (Shaw AR 2011, p. 54) * Rogers ARPU of $42.04 * 12.
</t>
        </r>
      </text>
    </comment>
    <comment ref="J14" authorId="0">
      <text>
        <r>
          <rPr>
            <sz val="10"/>
            <color rgb="FF000000"/>
            <rFont val="Verdana"/>
          </rPr>
          <t xml:space="preserve">1,233,041 subs (Shaw AR 2011, p. 54) * Rogers ARPU of $37.86 * 12.
</t>
        </r>
      </text>
    </comment>
    <comment ref="K14" authorId="0">
      <text>
        <r>
          <rPr>
            <sz val="10"/>
            <color rgb="FF000000"/>
            <rFont val="Verdana"/>
          </rPr>
          <t>1,307,544 subs (Shaw AR 2013, p. 23) * Rogers ARPU of $37.01 * 12.</t>
        </r>
      </text>
    </comment>
    <comment ref="L14" authorId="0">
      <text>
        <r>
          <rPr>
            <sz val="10"/>
            <color rgb="FF000000"/>
            <rFont val="Verdana"/>
          </rPr>
          <t>Estimate based on residual of revenues for non-programming services after deducting internet service revenues. CRTC Aggregate Annual Return 2013</t>
        </r>
      </text>
    </comment>
    <comment ref="M14" authorId="0">
      <text>
        <r>
          <rPr>
            <sz val="10"/>
            <color rgb="FF000000"/>
            <rFont val="Verdana"/>
          </rPr>
          <t>Estimate based on residual of revenues for non-programming services after deducting internet service revenues. CRTC Aggregate Annual Return 2014</t>
        </r>
      </text>
    </comment>
    <comment ref="H15" authorId="0">
      <text>
        <r>
          <rPr>
            <sz val="10"/>
            <color rgb="FF000000"/>
            <rFont val="Verdana"/>
          </rPr>
          <t>LR:
Rogers Annual Report 2009, p. 31.</t>
        </r>
      </text>
    </comment>
    <comment ref="I15" authorId="0">
      <text>
        <r>
          <rPr>
            <sz val="10"/>
            <color rgb="FF000000"/>
            <rFont val="Verdana"/>
          </rPr>
          <t>Dwayne Winseck:
Rogers Annual Report 2012, p. 39.</t>
        </r>
      </text>
    </comment>
    <comment ref="J15" authorId="0">
      <text>
        <r>
          <rPr>
            <sz val="10"/>
            <color rgb="FF000000"/>
            <rFont val="Verdana"/>
          </rPr>
          <t xml:space="preserve">Dwayne Winseck: Rogers Annual Report 2012, p. 39.
</t>
        </r>
      </text>
    </comment>
    <comment ref="K15" authorId="0">
      <text>
        <r>
          <rPr>
            <sz val="10"/>
            <color rgb="FF000000"/>
            <rFont val="Verdana"/>
          </rPr>
          <t xml:space="preserve">Dwayne Winseck: Rogers Annual Report 2012, p. 39.
</t>
        </r>
      </text>
    </comment>
    <comment ref="L15" authorId="0">
      <text>
        <r>
          <rPr>
            <sz val="10"/>
            <color rgb="FF000000"/>
            <rFont val="Verdana"/>
          </rPr>
          <t xml:space="preserve">Rogers, AR 2013, p. 42.
</t>
        </r>
      </text>
    </comment>
    <comment ref="M15" authorId="0">
      <text>
        <r>
          <rPr>
            <sz val="10"/>
            <color rgb="FF000000"/>
            <rFont val="Verdana"/>
          </rPr>
          <t xml:space="preserve">Rogers A/R 2014, p. 46. ARPU = $34.64.
</t>
        </r>
      </text>
    </comment>
    <comment ref="H16" authorId="0">
      <text>
        <r>
          <rPr>
            <sz val="10"/>
            <color rgb="FF000000"/>
            <rFont val="Verdana"/>
          </rPr>
          <t>http://www.quebecor.com/sites/default/files/Financial%20review%202010.pdf</t>
        </r>
      </text>
    </comment>
    <comment ref="I16" authorId="0">
      <text>
        <r>
          <rPr>
            <sz val="10"/>
            <color rgb="FF000000"/>
            <rFont val="Verdana"/>
          </rPr>
          <t xml:space="preserve">Quebecor Financial Review 2010, p. 12. </t>
        </r>
      </text>
    </comment>
    <comment ref="K16" authorId="0">
      <text>
        <r>
          <rPr>
            <sz val="10"/>
            <color rgb="FF000000"/>
            <rFont val="Verdana"/>
          </rPr>
          <t>Dwayne Winseck:
Quebecor Management Discussion and Analysis, 2012, p. 11. http://www.quebecor.com/sites/default/files/2012Q4/MDA_QI_Q4_2012Ang_FINAL.pdf</t>
        </r>
      </text>
    </comment>
    <comment ref="L16" authorId="0">
      <text>
        <r>
          <rPr>
            <sz val="10"/>
            <color rgb="FF000000"/>
            <rFont val="Verdana"/>
          </rPr>
          <t xml:space="preserve">Quebecor Financial Review 2013, p. 13. 
</t>
        </r>
      </text>
    </comment>
    <comment ref="M16" authorId="0">
      <text>
        <r>
          <rPr>
            <sz val="10"/>
            <color rgb="FF000000"/>
            <rFont val="Verdana"/>
          </rPr>
          <t>Quebecor Financial Review 2014, p. 14. ARPU = $29.34.</t>
        </r>
      </text>
    </comment>
    <comment ref="D17" authorId="0">
      <text>
        <r>
          <rPr>
            <sz val="10"/>
            <color rgb="FF000000"/>
            <rFont val="Verdana"/>
          </rPr>
          <t xml:space="preserve">SaskTel, AR 1996, p. 32.
</t>
        </r>
      </text>
    </comment>
    <comment ref="E17" authorId="0">
      <text>
        <r>
          <rPr>
            <sz val="10"/>
            <color rgb="FF000000"/>
            <rFont val="Verdana"/>
          </rPr>
          <t>SaskTel, AR 1996, p. 33.</t>
        </r>
      </text>
    </comment>
    <comment ref="F17" authorId="0">
      <text>
        <r>
          <rPr>
            <sz val="10"/>
            <color rgb="FF000000"/>
            <rFont val="Verdana"/>
          </rPr>
          <t>SaskTel, AR 2001, p.19.</t>
        </r>
      </text>
    </comment>
    <comment ref="G17" authorId="0">
      <text>
        <r>
          <rPr>
            <sz val="10"/>
            <color rgb="FF000000"/>
            <rFont val="Verdana"/>
          </rPr>
          <t>SaskTel, AR 2005, p. 27.</t>
        </r>
      </text>
    </comment>
    <comment ref="H17" authorId="0">
      <text>
        <r>
          <rPr>
            <sz val="10"/>
            <color rgb="FF000000"/>
            <rFont val="Verdana"/>
          </rPr>
          <t>SaskTel, AR 2009, p. 33.</t>
        </r>
      </text>
    </comment>
    <comment ref="I17" authorId="0">
      <text>
        <r>
          <rPr>
            <sz val="10"/>
            <color rgb="FF000000"/>
            <rFont val="Verdana"/>
          </rPr>
          <t>SaskTel, AR 2010, p. 30.</t>
        </r>
      </text>
    </comment>
    <comment ref="J17" authorId="0">
      <text>
        <r>
          <rPr>
            <sz val="10"/>
            <color rgb="FF000000"/>
            <rFont val="Verdana"/>
          </rPr>
          <t>SaskTel, AR 2012, p. 30.</t>
        </r>
      </text>
    </comment>
    <comment ref="K17" authorId="0">
      <text>
        <r>
          <rPr>
            <sz val="10"/>
            <color rgb="FF000000"/>
            <rFont val="Verdana"/>
          </rPr>
          <t>SaskTel, AR 2013, p. 36. Excludes wireless, IPTV, maxTV, Equipment, Advertising, Directory, Other, etc.</t>
        </r>
      </text>
    </comment>
    <comment ref="L17" authorId="0">
      <text>
        <r>
          <rPr>
            <sz val="10"/>
            <color rgb="FF000000"/>
            <rFont val="Verdana"/>
          </rPr>
          <t xml:space="preserve">SaskTel, AR 2013, p. 36. Excludes wireless, IPTV, maxTV, Equipment, Advertising, Directory, Other, etc.
</t>
        </r>
      </text>
    </comment>
    <comment ref="M17" authorId="0">
      <text>
        <r>
          <rPr>
            <sz val="10"/>
            <color rgb="FF000000"/>
            <rFont val="Verdana"/>
          </rPr>
          <t>Sasktel AR p. 43, excludes Wireless, maxTV, Internet &amp; data services, equipment services, advertising services, security monitoring services, International software and consulting services, and other services.</t>
        </r>
      </text>
    </comment>
    <comment ref="H18" authorId="0">
      <text>
        <r>
          <rPr>
            <sz val="10"/>
            <color rgb="FF000000"/>
            <rFont val="Verdana"/>
          </rPr>
          <t>LR:
Cogeco Annual Report 2009, p.89 Telephony Service Customer in Canada: 281,608</t>
        </r>
      </text>
    </comment>
    <comment ref="I18" authorId="0">
      <text>
        <r>
          <rPr>
            <sz val="10"/>
            <color rgb="FF000000"/>
            <rFont val="Verdana"/>
          </rPr>
          <t>LR:
Cogeco Annual Report 2010, p.81 Telephony Service Customers in Canada: 357,597 * by Rogers ARPU of $42.04.</t>
        </r>
      </text>
    </comment>
    <comment ref="J18" authorId="0">
      <text>
        <r>
          <rPr>
            <sz val="10"/>
            <color rgb="FF000000"/>
            <rFont val="Verdana"/>
          </rPr>
          <t>LR:
Cogeco Annual Report 2011, p.42 Telephony service customers in Canada: 418,270 * by Rogers ARPU of $37.86.</t>
        </r>
      </text>
    </comment>
    <comment ref="K18" authorId="0">
      <text>
        <r>
          <rPr>
            <sz val="10"/>
            <color rgb="FF000000"/>
            <rFont val="Verdana"/>
          </rPr>
          <t xml:space="preserve">Dwayne Winseck:
Cogeco Annual Report 2012, p. 29 indicates 471,484 subscribers at year end. Multiplied by ARPU of $37.01 from Rogers Annual Report 2012, p. 29. </t>
        </r>
      </text>
    </comment>
    <comment ref="L18" authorId="0">
      <text>
        <r>
          <rPr>
            <sz val="10"/>
            <color rgb="FF000000"/>
            <rFont val="Verdana"/>
          </rPr>
          <t xml:space="preserve">Estimate based on residual of revenues for non-programming services after deducting internet service revenues CRTC Aggregate Annual Return 2013. 484,014 subscribers. Cogeco
Detailed Press Release, p. 5 http://www.cogeco.ca/cable/corporate/files/press_releases_en/2013/CGO_Q4-2013_detailed_103013.pdf. </t>
        </r>
      </text>
    </comment>
    <comment ref="M18" authorId="0">
      <text>
        <r>
          <rPr>
            <sz val="10"/>
            <color rgb="FF000000"/>
            <rFont val="Verdana"/>
          </rPr>
          <t xml:space="preserve">Estimate based 469,273 subscribers * avg ARPU from Rogers and Quebecor ($31.99). CRTC Aggregate Annual Return 2013. 484,014 subscribers. </t>
        </r>
      </text>
    </comment>
    <comment ref="K19" authorId="0">
      <text>
        <r>
          <rPr>
            <sz val="10"/>
            <color rgb="FF000000"/>
            <rFont val="Verdana"/>
          </rPr>
          <t>Dwayne Winseck:
Estimate based on division of non-programming services between Internet access and telephone services, with the figure for the latter being the residual after subtracting internet revenues from the total non-programming services revenues identified in the CRTC's 2012 Annual Aggregate Report for Bragg. See Internet sheet for estimation of Bragg's internet access revenues.</t>
        </r>
      </text>
    </comment>
    <comment ref="L19" authorId="0">
      <text>
        <r>
          <rPr>
            <sz val="10"/>
            <color rgb="FF000000"/>
            <rFont val="Verdana"/>
          </rPr>
          <t>Dwayne Winseck:
Estimate based on division of non-programming services between Internet access and telephone services, with the figure for the latter being the residual after subtracting internet revenues from the total non-programming services revenues identified in the CRTC's 2013 Annual Aggregate Report for Bragg. See Internet sheet for estimation of Bragg's internet access revenues.</t>
        </r>
      </text>
    </comment>
    <comment ref="M19" authorId="0">
      <text>
        <r>
          <rPr>
            <sz val="10"/>
            <color rgb="FF000000"/>
            <rFont val="Verdana"/>
          </rPr>
          <t>Estimate based on division of non-programming services between Internet access and telephone services, with the figure for the latter being the residual after subtracting internet revenues from the total non-programming services revenues identified in the CRTC's 2014 Annual Aggregate Report for Bragg. See Internet sheet for estimation of Bragg's internet access revenues.</t>
        </r>
      </text>
    </comment>
    <comment ref="F20" authorId="0">
      <text>
        <r>
          <rPr>
            <sz val="10"/>
            <color rgb="FF000000"/>
            <rFont val="Verdana"/>
          </rPr>
          <t xml:space="preserve">Dwayne Winseck: Primus Annual Report 2000, para. 18. Revenues for telecom and internet access split 83.3/16.7 based on ratio identified in later Primus financial statements.
</t>
        </r>
      </text>
    </comment>
    <comment ref="G20" authorId="0">
      <text>
        <r>
          <rPr>
            <sz val="10"/>
            <color rgb="FF000000"/>
            <rFont val="Verdana"/>
          </rPr>
          <t>Dwayne Winseck:
Primus Annual Report 2004, p. 36. Revenues for telecom and internet access split 83.3/16.7 based on ratio identified in later Primus financial statements.</t>
        </r>
      </text>
    </comment>
    <comment ref="H20" authorId="0">
      <text>
        <r>
          <rPr>
            <sz val="10"/>
            <color rgb="FF000000"/>
            <rFont val="Verdana"/>
          </rPr>
          <t>Dwayne Winseck:
Primus Annual Report 2008, p. 51. Revenues for telecom and internet access split 83.3/16.7 based on ratio identified in later Primus financial statements.</t>
        </r>
      </text>
    </comment>
    <comment ref="I20" authorId="0">
      <text>
        <r>
          <rPr>
            <sz val="10"/>
            <color rgb="FF000000"/>
            <rFont val="Verdana"/>
          </rPr>
          <t>Primus Group Int'l (2012). Presentation to Jefferies 2012 Global TMT Conference, pp. 4-6 for 2010 and 2011, w/ same break down of quarterly data used to determine segmented revenues on an annual basi, i.e. 83.3 (telecom) / 16.7 (internet).</t>
        </r>
      </text>
    </comment>
    <comment ref="J20" authorId="0">
      <text>
        <r>
          <rPr>
            <sz val="10"/>
            <color rgb="FF000000"/>
            <rFont val="Verdana"/>
          </rPr>
          <t>Dwayne Winseck: Primus Group Int'l (2012). Presentation to Jefferies 2012 Global TMT Conference, pp. 4-6 for 2010 and 2011, w/ same break down of quarterly data used to determine segmented revenues on an annual basis.</t>
        </r>
      </text>
    </comment>
    <comment ref="K20" authorId="0">
      <text>
        <r>
          <rPr>
            <sz val="10"/>
            <color rgb="FF000000"/>
            <rFont val="Verdana"/>
          </rPr>
          <t xml:space="preserve">Dwayne Winseck: Primus Form 8-K Report May 2012, p. 6. Quarterly revenue figures used to estimate annual revenues. Revenues apportioned between telecom and ISP on same basis as 2010 and 2011. 
</t>
        </r>
      </text>
    </comment>
    <comment ref="L20" authorId="0">
      <text>
        <r>
          <rPr>
            <sz val="10"/>
            <color rgb="FF000000"/>
            <rFont val="Verdana"/>
          </rPr>
          <t xml:space="preserve">Estimate based on comment by CRTC that Primus accounts for .7% of 2014 telecoms revenues. http://www.crtc.gc.ca/eng/archive/2014/2014-437.pdf This amount than divided between wiredline telecoms &amp; ISPs at same ratio as in previous years.
</t>
        </r>
      </text>
    </comment>
    <comment ref="M20" authorId="0">
      <text>
        <r>
          <rPr>
            <sz val="10"/>
            <color rgb="FF000000"/>
            <rFont val="Verdana"/>
          </rPr>
          <t>Estimate based on comment by CRTC that Primus accounts for .7% of 2014 telecoms revenues. http://www.crtc.gc.ca/eng/archive/2014/2014-437.pdf This amount than divided between wiredline telecoms &amp; ISPs at same ratio as in previous years.</t>
        </r>
      </text>
    </comment>
    <comment ref="H22" authorId="0">
      <text>
        <r>
          <rPr>
            <sz val="10"/>
            <color rgb="FF000000"/>
            <rFont val="Verdana"/>
          </rPr>
          <t xml:space="preserve">Vonage AR 2010, note 11. </t>
        </r>
      </text>
    </comment>
    <comment ref="I22" authorId="0">
      <text>
        <r>
          <rPr>
            <sz val="10"/>
            <color rgb="FF000000"/>
            <rFont val="Verdana"/>
          </rPr>
          <t xml:space="preserve">Vonage AR 2010, note 11. </t>
        </r>
      </text>
    </comment>
    <comment ref="J22" authorId="0">
      <text>
        <r>
          <rPr>
            <sz val="10"/>
            <color rgb="FF000000"/>
            <rFont val="Verdana"/>
          </rPr>
          <t xml:space="preserve">Vonage AR 2013, note 13. </t>
        </r>
      </text>
    </comment>
    <comment ref="K22" authorId="0">
      <text>
        <r>
          <rPr>
            <sz val="10"/>
            <color rgb="FF000000"/>
            <rFont val="Verdana"/>
          </rPr>
          <t xml:space="preserve">Vonage AR 2013, note 13. 
</t>
        </r>
      </text>
    </comment>
    <comment ref="L22" authorId="0">
      <text>
        <r>
          <rPr>
            <sz val="10"/>
            <color rgb="FF000000"/>
            <rFont val="Verdana"/>
          </rPr>
          <t xml:space="preserve">Vonage AR 2013, note 13. </t>
        </r>
      </text>
    </comment>
    <comment ref="M22" authorId="0">
      <text>
        <r>
          <rPr>
            <sz val="10"/>
            <color rgb="FF000000"/>
            <rFont val="Verdana"/>
          </rPr>
          <t xml:space="preserve">Vonage AR 2014, note 13. </t>
        </r>
      </text>
    </comment>
    <comment ref="H23" authorId="0">
      <text>
        <r>
          <rPr>
            <sz val="10"/>
            <color rgb="FF000000"/>
            <rFont val="Verdana"/>
          </rPr>
          <t xml:space="preserve">Dwayne Winseck: Access Communications Annual Report, 2009, p. 31. Telecoms revenues split 66.4/33.6 between ISPs and telephone service, respectively.
</t>
        </r>
      </text>
    </comment>
    <comment ref="J23" authorId="0">
      <text>
        <r>
          <rPr>
            <sz val="10"/>
            <color rgb="FF000000"/>
            <rFont val="Verdana"/>
          </rPr>
          <t xml:space="preserve">Dwayne Winseck: Access Communications Annual Report 2011, p. 19, with 66.4% of telecoms revenues allocated to ISP and rest to telephone.
</t>
        </r>
      </text>
    </comment>
    <comment ref="K23" authorId="0">
      <text>
        <r>
          <rPr>
            <sz val="10"/>
            <color rgb="FF000000"/>
            <rFont val="Verdana"/>
          </rPr>
          <t xml:space="preserve">Dwayne Winseck: Access Communications Annual Report 2013, p. 25. Telecoms revenues split 66.4/33.6 between ISPs and telephone service, respectively.
</t>
        </r>
      </text>
    </comment>
    <comment ref="L23" authorId="0">
      <text>
        <r>
          <rPr>
            <sz val="10"/>
            <color rgb="FF000000"/>
            <rFont val="Verdana"/>
          </rPr>
          <t xml:space="preserve">Access Communications Annual Report 2013, p. 25. Telecoms revenues split 66.4/33.6 between ISPs and telephone service, respectively.
</t>
        </r>
      </text>
    </comment>
    <comment ref="M23" authorId="0">
      <text>
        <r>
          <rPr>
            <sz val="10"/>
            <color rgb="FF000000"/>
            <rFont val="Verdana"/>
          </rPr>
          <t>Access Communications Annual Report 2014, p. 30. Telecoms revenues split 66.4/33.6 between ISPs and telephone service, respectively.</t>
        </r>
      </text>
    </comment>
    <comment ref="G36" authorId="0">
      <text>
        <r>
          <rPr>
            <sz val="10"/>
            <color rgb="FF000000"/>
            <rFont val="Verdana"/>
          </rPr>
          <t>LR:
CRTC Communications Monitoring Report, 2008, p. 183</t>
        </r>
      </text>
    </comment>
    <comment ref="H36" authorId="0">
      <text>
        <r>
          <rPr>
            <sz val="10"/>
            <color rgb="FF000000"/>
            <rFont val="Verdana"/>
          </rPr>
          <t xml:space="preserve">LR:
CRTC Communications Monitoring Report 2011, p. 18; Wireline Rev 24.2, exclude ISP Rev (6.2) from CRTC Communications Monitoring Report 2009, p.217 </t>
        </r>
      </text>
    </comment>
    <comment ref="I36" authorId="0">
      <text>
        <r>
          <rPr>
            <sz val="10"/>
            <color rgb="FF000000"/>
            <rFont val="Verdana"/>
          </rPr>
          <t>LR:
CRTC Communications Monitoring Report 2011, p. 18; Wireline Rev 23.7, exclude ISP Rev (P.137) 6.8</t>
        </r>
      </text>
    </comment>
    <comment ref="J36" authorId="0">
      <text>
        <r>
          <rPr>
            <sz val="10"/>
            <color rgb="FF000000"/>
            <rFont val="Verdana"/>
          </rPr>
          <t>LR:
CRTC 2011</t>
        </r>
      </text>
    </comment>
    <comment ref="K36" authorId="0">
      <text>
        <r>
          <rPr>
            <sz val="10"/>
            <color rgb="FF000000"/>
            <rFont val="Verdana"/>
          </rPr>
          <t>Dway
ne Winseck:
CRTC 2013 CMR, p. 120.</t>
        </r>
      </text>
    </comment>
    <comment ref="L36" authorId="0">
      <text>
        <r>
          <rPr>
            <sz val="10"/>
            <color rgb="FF000000"/>
            <rFont val="Verdana"/>
          </rPr>
          <t xml:space="preserve">CRTC 2014 CMR, p. 134. Minus ISP $. 
</t>
        </r>
      </text>
    </comment>
    <comment ref="M36" authorId="0">
      <text>
        <r>
          <rPr>
            <sz val="10"/>
            <color rgb="FF000000"/>
            <rFont val="Verdana"/>
          </rPr>
          <t xml:space="preserve">Estimate only.  </t>
        </r>
      </text>
    </comment>
  </commentList>
</comments>
</file>

<file path=xl/comments2.xml><?xml version="1.0" encoding="utf-8"?>
<comments xmlns="http://schemas.openxmlformats.org/spreadsheetml/2006/main">
  <authors>
    <author/>
  </authors>
  <commentList>
    <comment ref="L36" authorId="0">
      <text>
        <r>
          <rPr>
            <sz val="10"/>
            <color rgb="FF000000"/>
            <rFont val="Verdana"/>
          </rPr>
          <t xml:space="preserve">CRTC 2014 CMR, p. 134. Minus ISP $. 
</t>
        </r>
      </text>
    </comment>
  </commentList>
</comments>
</file>

<file path=xl/comments3.xml><?xml version="1.0" encoding="utf-8"?>
<comments xmlns="http://schemas.openxmlformats.org/spreadsheetml/2006/main">
  <authors>
    <author/>
  </authors>
  <commentList>
    <comment ref="F3" authorId="0">
      <text>
        <r>
          <rPr>
            <sz val="10"/>
            <color rgb="FF000000"/>
            <rFont val="Verdana"/>
          </rPr>
          <t>Rogers, AR 2001, p. 19.</t>
        </r>
      </text>
    </comment>
    <comment ref="G3" authorId="0">
      <text>
        <r>
          <rPr>
            <sz val="10"/>
            <color rgb="FF000000"/>
            <rFont val="Verdana"/>
          </rPr>
          <t>Rogers Annual Report, p.26</t>
        </r>
      </text>
    </comment>
    <comment ref="H3" authorId="0">
      <text>
        <r>
          <rPr>
            <sz val="10"/>
            <color rgb="FF000000"/>
            <rFont val="Verdana"/>
          </rPr>
          <t>LR:
Rogers Annual Report, 2010, p. 34.</t>
        </r>
      </text>
    </comment>
    <comment ref="I3" authorId="0">
      <text>
        <r>
          <rPr>
            <sz val="10"/>
            <color rgb="FF000000"/>
            <rFont val="Verdana"/>
          </rPr>
          <t>LR:
Rogers Annual Report, 2010, p.19
6968</t>
        </r>
      </text>
    </comment>
    <comment ref="J3" authorId="0">
      <text>
        <r>
          <rPr>
            <sz val="10"/>
            <color rgb="FF000000"/>
            <rFont val="Verdana"/>
          </rPr>
          <t>LR:
Rogers Annual Report, p.35</t>
        </r>
      </text>
    </comment>
    <comment ref="K3" authorId="0">
      <text>
        <r>
          <rPr>
            <sz val="10"/>
            <color rgb="FF000000"/>
            <rFont val="Verdana"/>
          </rPr>
          <t xml:space="preserve">LR:
Rogers Annual report, 2012, p35
</t>
        </r>
      </text>
    </comment>
    <comment ref="L3" authorId="0">
      <text>
        <r>
          <rPr>
            <sz val="10"/>
            <color rgb="FF000000"/>
            <rFont val="Verdana"/>
          </rPr>
          <t xml:space="preserve">Rogers A/R 2013, p. 102. 
</t>
        </r>
      </text>
    </comment>
    <comment ref="M3" authorId="0">
      <text>
        <r>
          <rPr>
            <sz val="10"/>
            <color rgb="FF000000"/>
            <rFont val="Verdana"/>
          </rPr>
          <t xml:space="preserve">Rogers A/R 2014, p. 43. 
</t>
        </r>
      </text>
    </comment>
    <comment ref="E4" authorId="0">
      <text>
        <r>
          <rPr>
            <sz val="10"/>
            <color rgb="FF000000"/>
            <rFont val="Verdana"/>
          </rPr>
          <t>Microcell, AR 1997, p. 20.</t>
        </r>
      </text>
    </comment>
    <comment ref="F4" authorId="0">
      <text>
        <r>
          <rPr>
            <sz val="10"/>
            <color rgb="FF000000"/>
            <rFont val="Verdana"/>
          </rPr>
          <t>Microcell, AR 2000, p. 20.</t>
        </r>
      </text>
    </comment>
    <comment ref="G4" authorId="0">
      <text>
        <r>
          <rPr>
            <sz val="10"/>
            <color rgb="FF000000"/>
            <rFont val="Verdana"/>
          </rPr>
          <t>Rogers acquired Microcell in 2004.</t>
        </r>
      </text>
    </comment>
    <comment ref="F5" authorId="0">
      <text>
        <r>
          <rPr>
            <sz val="10"/>
            <color rgb="FF000000"/>
            <rFont val="Verdana"/>
          </rPr>
          <t xml:space="preserve">Brian Wilkinson:
Telus A/R 2004 p. 8. </t>
        </r>
      </text>
    </comment>
    <comment ref="G5" authorId="0">
      <text>
        <r>
          <rPr>
            <sz val="10"/>
            <color rgb="FF000000"/>
            <rFont val="Verdana"/>
          </rPr>
          <t>LR:
Telus Annual Report, 2004 p.8</t>
        </r>
      </text>
    </comment>
    <comment ref="H5" authorId="0">
      <text>
        <r>
          <rPr>
            <sz val="10"/>
            <color rgb="FF000000"/>
            <rFont val="Verdana"/>
          </rPr>
          <t xml:space="preserve">Telus Annuaal Report 2013, p. 40. </t>
        </r>
      </text>
    </comment>
    <comment ref="I5" authorId="0">
      <text>
        <r>
          <rPr>
            <sz val="10"/>
            <color rgb="FF000000"/>
            <rFont val="Verdana"/>
          </rPr>
          <t>Telus Annual Report 2013, p. 40</t>
        </r>
      </text>
    </comment>
    <comment ref="J5" authorId="0">
      <text>
        <r>
          <rPr>
            <sz val="10"/>
            <color rgb="FF000000"/>
            <rFont val="Verdana"/>
          </rPr>
          <t>Telus Annual Report 2013, p. 40</t>
        </r>
      </text>
    </comment>
    <comment ref="K5" authorId="0">
      <text>
        <r>
          <rPr>
            <sz val="10"/>
            <color rgb="FF000000"/>
            <rFont val="Verdana"/>
          </rPr>
          <t>Telus Annual Report 2013, p. 40</t>
        </r>
      </text>
    </comment>
    <comment ref="L5" authorId="0">
      <text>
        <r>
          <rPr>
            <sz val="10"/>
            <color rgb="FF000000"/>
            <rFont val="Verdana"/>
          </rPr>
          <t xml:space="preserve">Telus Annual Report 2013, p. 40
</t>
        </r>
      </text>
    </comment>
    <comment ref="M5" authorId="0">
      <text>
        <r>
          <rPr>
            <sz val="10"/>
            <color rgb="FF000000"/>
            <rFont val="Verdana"/>
          </rPr>
          <t>Telus Annual Report 2014, p. 40.</t>
        </r>
      </text>
    </comment>
    <comment ref="E6" authorId="0">
      <text>
        <r>
          <rPr>
            <sz val="10"/>
            <color rgb="FF000000"/>
            <rFont val="Verdana"/>
          </rPr>
          <t>Clearnet, AR 1996, p. 26.</t>
        </r>
      </text>
    </comment>
    <comment ref="F6" authorId="0">
      <text>
        <r>
          <rPr>
            <sz val="10"/>
            <color rgb="FF000000"/>
            <rFont val="Verdana"/>
          </rPr>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
        </r>
      </text>
    </comment>
    <comment ref="F7" authorId="0">
      <text>
        <r>
          <rPr>
            <sz val="10"/>
            <color rgb="FF000000"/>
            <rFont val="Verdana"/>
          </rPr>
          <t xml:space="preserve">LR:
BCE Annual Report, 2000 p 15 + Bell Aliant AR 2001, p. 50, note 18. </t>
        </r>
      </text>
    </comment>
    <comment ref="G7" authorId="0">
      <text>
        <r>
          <rPr>
            <sz val="10"/>
            <color rgb="FF000000"/>
            <rFont val="Verdana"/>
          </rPr>
          <t>LR:
BCE Annual Report 2004, p.56 + Bell Aliant, 2004, p. 31.</t>
        </r>
      </text>
    </comment>
    <comment ref="H7" authorId="0">
      <text>
        <r>
          <rPr>
            <sz val="10"/>
            <color rgb="FF000000"/>
            <rFont val="Verdana"/>
          </rPr>
          <t>LR:
BCE Annual Report 2008, p.9 + p. 45</t>
        </r>
      </text>
    </comment>
    <comment ref="I7" authorId="0">
      <text>
        <r>
          <rPr>
            <sz val="10"/>
            <color rgb="FF000000"/>
            <rFont val="Verdana"/>
          </rPr>
          <t>LR:
BCE Annual Report 2010, pp. 44-47.</t>
        </r>
      </text>
    </comment>
    <comment ref="J7" authorId="0">
      <text>
        <r>
          <rPr>
            <sz val="10"/>
            <color rgb="FF000000"/>
            <rFont val="Verdana"/>
          </rPr>
          <t>LR:
BCE Annual Report 2011 pp. 44&amp;47.</t>
        </r>
      </text>
    </comment>
    <comment ref="K7" authorId="0">
      <text>
        <r>
          <rPr>
            <sz val="10"/>
            <color rgb="FF000000"/>
            <rFont val="Verdana"/>
          </rPr>
          <t>LR:
BCE Annual Report 2013, pp. 53+72.</t>
        </r>
      </text>
    </comment>
    <comment ref="L7" authorId="0">
      <text>
        <r>
          <rPr>
            <sz val="10"/>
            <color rgb="FF000000"/>
            <rFont val="Verdana"/>
          </rPr>
          <t xml:space="preserve">BCE, A/R 2013, pp. 53+72.
</t>
        </r>
      </text>
    </comment>
    <comment ref="M7" authorId="0">
      <text>
        <r>
          <rPr>
            <sz val="10"/>
            <color rgb="FF000000"/>
            <rFont val="Verdana"/>
          </rPr>
          <t xml:space="preserve">Total of Bell + Bell Aliant. </t>
        </r>
      </text>
    </comment>
    <comment ref="F8" authorId="0">
      <text>
        <r>
          <rPr>
            <sz val="10"/>
            <color rgb="FF000000"/>
            <rFont val="Verdana"/>
          </rPr>
          <t xml:space="preserve">Brian Wilkinson:
BCE, AR 2000, p. 15. </t>
        </r>
      </text>
    </comment>
    <comment ref="G8" authorId="0">
      <text>
        <r>
          <rPr>
            <sz val="10"/>
            <color rgb="FF000000"/>
            <rFont val="Verdana"/>
          </rPr>
          <t>Brian Wilkinson:
BCE, AR 2004, p. 56.</t>
        </r>
      </text>
    </comment>
    <comment ref="H8" authorId="0">
      <text>
        <r>
          <rPr>
            <sz val="10"/>
            <color rgb="FF000000"/>
            <rFont val="Verdana"/>
          </rPr>
          <t xml:space="preserve">BCE Annual Report 2008, p. 39. </t>
        </r>
      </text>
    </comment>
    <comment ref="I8" authorId="0">
      <text>
        <r>
          <rPr>
            <sz val="10"/>
            <color rgb="FF000000"/>
            <rFont val="Verdana"/>
          </rPr>
          <t>Brian Wilkinson:
BCE A/R  2011 , p. 44.</t>
        </r>
      </text>
    </comment>
    <comment ref="J8" authorId="0">
      <text>
        <r>
          <rPr>
            <sz val="10"/>
            <color rgb="FF000000"/>
            <rFont val="Verdana"/>
          </rPr>
          <t>Brian Wilkinson:
BCE  A/R 2011, p. 44.</t>
        </r>
      </text>
    </comment>
    <comment ref="K8" authorId="0">
      <text>
        <r>
          <rPr>
            <sz val="10"/>
            <color rgb="FF000000"/>
            <rFont val="Verdana"/>
          </rPr>
          <t xml:space="preserve">BCE, A/R 2013, p. 53.
</t>
        </r>
      </text>
    </comment>
    <comment ref="L8" authorId="0">
      <text>
        <r>
          <rPr>
            <sz val="10"/>
            <color rgb="FF000000"/>
            <rFont val="Verdana"/>
          </rPr>
          <t>Brian Wilkinson:
BCE, A/R 2013, p. 53.</t>
        </r>
      </text>
    </comment>
    <comment ref="M8" authorId="0">
      <text>
        <r>
          <rPr>
            <sz val="10"/>
            <color rgb="FF000000"/>
            <rFont val="Verdana"/>
          </rPr>
          <t xml:space="preserve">BCE AR 2014, p. 53. </t>
        </r>
      </text>
    </comment>
    <comment ref="F9" authorId="0">
      <text>
        <r>
          <rPr>
            <sz val="10"/>
            <color rgb="FF000000"/>
            <rFont val="Verdana"/>
          </rPr>
          <t xml:space="preserve">Bell Aliant AR 2001, p. 50, note 18. 
</t>
        </r>
      </text>
    </comment>
    <comment ref="G9" authorId="0">
      <text>
        <r>
          <rPr>
            <sz val="10"/>
            <color rgb="FF000000"/>
            <rFont val="Verdana"/>
          </rPr>
          <t xml:space="preserve">Bell Aliant, 2004, p. 31.
</t>
        </r>
      </text>
    </comment>
    <comment ref="H9" authorId="0">
      <text>
        <r>
          <rPr>
            <sz val="10"/>
            <color rgb="FF000000"/>
            <rFont val="Verdana"/>
          </rPr>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r>
      </text>
    </comment>
    <comment ref="I9" authorId="0">
      <text>
        <r>
          <rPr>
            <sz val="10"/>
            <color rgb="FF000000"/>
            <rFont val="Verdana"/>
          </rPr>
          <t>Brian Wilkinson:
BCE, 2011 AR, p. 47.</t>
        </r>
      </text>
    </comment>
    <comment ref="J9" authorId="0">
      <text>
        <r>
          <rPr>
            <sz val="10"/>
            <color rgb="FF000000"/>
            <rFont val="Verdana"/>
          </rPr>
          <t>Brian Wilkinson:
BCE, AR 2011, p. 47</t>
        </r>
      </text>
    </comment>
    <comment ref="K9" authorId="0">
      <text>
        <r>
          <rPr>
            <sz val="10"/>
            <color rgb="FF000000"/>
            <rFont val="Verdana"/>
          </rPr>
          <t xml:space="preserve">BCE A/R 2013, p. 72.
</t>
        </r>
      </text>
    </comment>
    <comment ref="L9" authorId="0">
      <text>
        <r>
          <rPr>
            <sz val="10"/>
            <color rgb="FF000000"/>
            <rFont val="Verdana"/>
          </rPr>
          <t xml:space="preserve">BCE A/R 2013, p. 72
</t>
        </r>
      </text>
    </comment>
    <comment ref="M9" authorId="0">
      <text>
        <r>
          <rPr>
            <sz val="10"/>
            <color rgb="FF000000"/>
            <rFont val="Verdana"/>
          </rPr>
          <t xml:space="preserve">BCE AR 2014, p. 74. </t>
        </r>
      </text>
    </comment>
    <comment ref="F10" authorId="0">
      <text>
        <r>
          <rPr>
            <sz val="10"/>
            <color rgb="FF000000"/>
            <rFont val="Verdana"/>
          </rPr>
          <t xml:space="preserve">SaskTel, AR 2001, p. 21.
</t>
        </r>
      </text>
    </comment>
    <comment ref="G10" authorId="0">
      <text>
        <r>
          <rPr>
            <sz val="10"/>
            <color rgb="FF000000"/>
            <rFont val="Verdana"/>
          </rPr>
          <t>SaskTel, AR 2005, p. 27.</t>
        </r>
      </text>
    </comment>
    <comment ref="H10" authorId="0">
      <text>
        <r>
          <rPr>
            <sz val="10"/>
            <color rgb="FF000000"/>
            <rFont val="Verdana"/>
          </rPr>
          <t>SaskTel, AR 2009, p. 33.</t>
        </r>
      </text>
    </comment>
    <comment ref="I10" authorId="0">
      <text>
        <r>
          <rPr>
            <sz val="10"/>
            <color rgb="FF000000"/>
            <rFont val="Verdana"/>
          </rPr>
          <t xml:space="preserve">LR:
SaskTel Annual Report 2010, p.30
</t>
        </r>
      </text>
    </comment>
    <comment ref="J10" authorId="0">
      <text>
        <r>
          <rPr>
            <sz val="10"/>
            <color rgb="FF000000"/>
            <rFont val="Verdana"/>
          </rPr>
          <t>LR:
SaskTel Annual Report, 2012 p.30</t>
        </r>
      </text>
    </comment>
    <comment ref="K10" authorId="0">
      <text>
        <r>
          <rPr>
            <sz val="10"/>
            <color rgb="FF000000"/>
            <rFont val="Verdana"/>
          </rPr>
          <t>LR:
SaskTel Annual Report, 2012 p.30</t>
        </r>
      </text>
    </comment>
    <comment ref="L10" authorId="0">
      <text>
        <r>
          <rPr>
            <sz val="10"/>
            <color rgb="FF000000"/>
            <rFont val="Verdana"/>
          </rPr>
          <t>Brian Wilkinson:.
SaskTel, AR 2013, p. 36</t>
        </r>
      </text>
    </comment>
    <comment ref="M10" authorId="0">
      <text>
        <r>
          <rPr>
            <sz val="10"/>
            <color rgb="FF000000"/>
            <rFont val="Verdana"/>
          </rPr>
          <t>SaskTel, AR 2014, p. 43.</t>
        </r>
      </text>
    </comment>
    <comment ref="F11" authorId="0">
      <text>
        <r>
          <rPr>
            <sz val="10"/>
            <color rgb="FF000000"/>
            <rFont val="Verdana"/>
          </rPr>
          <t xml:space="preserve">MTS AR 2001, p.36.
</t>
        </r>
      </text>
    </comment>
    <comment ref="G11" authorId="0">
      <text>
        <r>
          <rPr>
            <sz val="10"/>
            <color rgb="FF000000"/>
            <rFont val="Verdana"/>
          </rPr>
          <t xml:space="preserve">MTS AR 2005, p. 22.
</t>
        </r>
      </text>
    </comment>
    <comment ref="I11" authorId="0">
      <text>
        <r>
          <rPr>
            <sz val="10"/>
            <color rgb="FF000000"/>
            <rFont val="Verdana"/>
          </rPr>
          <t>LR:
MTS Annual Report, 2011; p.15</t>
        </r>
      </text>
    </comment>
    <comment ref="J11" authorId="0">
      <text>
        <r>
          <rPr>
            <sz val="10"/>
            <color rgb="FF000000"/>
            <rFont val="Verdana"/>
          </rPr>
          <t>LR:
MTS Annual Report 2011, p.15</t>
        </r>
      </text>
    </comment>
    <comment ref="K11" authorId="0">
      <text>
        <r>
          <rPr>
            <sz val="10"/>
            <color rgb="FF000000"/>
            <rFont val="Verdana"/>
          </rPr>
          <t>LR:
MTS Annual Report, 2012 p.3</t>
        </r>
      </text>
    </comment>
    <comment ref="L11" authorId="0">
      <text>
        <r>
          <rPr>
            <sz val="10"/>
            <color rgb="FF000000"/>
            <rFont val="Verdana"/>
          </rPr>
          <t xml:space="preserve">MTS, A/R 2013, p. 2. 
</t>
        </r>
      </text>
    </comment>
    <comment ref="M11" authorId="0">
      <text>
        <r>
          <rPr>
            <sz val="10"/>
            <color rgb="FF000000"/>
            <rFont val="Verdana"/>
          </rPr>
          <t>MTS AR 2014 p. 15</t>
        </r>
      </text>
    </comment>
    <comment ref="J12" authorId="0">
      <text>
        <r>
          <rPr>
            <sz val="10"/>
            <color rgb="FF000000"/>
            <rFont val="Verdana"/>
          </rPr>
          <t xml:space="preserve">Quebecor Management Discussion and Analysis, 2012, p. 11.http://www.quebecor.com/sites/default/files/2012Q4/MDA_QI_Q4_2012Ang_FINAL.pdf
</t>
        </r>
      </text>
    </comment>
    <comment ref="K12" authorId="0">
      <text>
        <r>
          <rPr>
            <sz val="10"/>
            <color rgb="FF000000"/>
            <rFont val="Verdana"/>
          </rPr>
          <t xml:space="preserve">Brian Wilkinson: Quebecor Management Discussion and Analysis, 2012, p. 11.http://www.quebecor.com/sites/default/files/2012Q4/MDA_QI_Q4_2012Ang_FINAL.pdf
</t>
        </r>
      </text>
    </comment>
    <comment ref="L12" authorId="0">
      <text>
        <r>
          <rPr>
            <sz val="10"/>
            <color rgb="FF000000"/>
            <rFont val="Verdana"/>
          </rPr>
          <t xml:space="preserve">Quebecor Financial Review 2013, p. 13.
</t>
        </r>
      </text>
    </comment>
    <comment ref="M12" authorId="0">
      <text>
        <r>
          <rPr>
            <sz val="10"/>
            <color rgb="FF000000"/>
            <rFont val="Verdana"/>
          </rPr>
          <t>Quebecor Financial Review 2014 p 14.</t>
        </r>
      </text>
    </comment>
    <comment ref="I13" authorId="0">
      <text>
        <r>
          <rPr>
            <sz val="10"/>
            <color rgb="FF000000"/>
            <rFont val="Verdana"/>
          </rPr>
          <t>233,000 subs * $22.40 ARPU. Source: Company.</t>
        </r>
      </text>
    </comment>
    <comment ref="J13" authorId="0">
      <text>
        <r>
          <rPr>
            <sz val="10"/>
            <color rgb="FF000000"/>
            <rFont val="Verdana"/>
          </rPr>
          <t xml:space="preserve">403,000 subs * $27 ARPU. Source: Company.
</t>
        </r>
      </text>
    </comment>
    <comment ref="K13" authorId="0">
      <text>
        <r>
          <rPr>
            <sz val="10"/>
            <color rgb="FF000000"/>
            <rFont val="Verdana"/>
          </rPr>
          <t>590,000 subs * $27.80 ARPU. Source: Company.</t>
        </r>
      </text>
    </comment>
    <comment ref="L13" authorId="0">
      <text>
        <r>
          <rPr>
            <sz val="10"/>
            <color rgb="FF000000"/>
            <rFont val="Verdana"/>
          </rPr>
          <t>676,000 subs * $29.10 ARPU. Source: Company.</t>
        </r>
      </text>
    </comment>
    <comment ref="M13" authorId="0">
      <text>
        <r>
          <rPr>
            <sz val="10"/>
            <color rgb="FF000000"/>
            <rFont val="Verdana"/>
          </rPr>
          <t>738k subs * $31.60 (ARPU). Wind had 800k subs at the end of 2014 http://www.marketwired.com/press-release/wind-mobile-celebrates-five-years-strong-in-canada-1977364.htm. Y-o-y average =738k (677k+800k). It's ARPU was reported as $31.60 in a research note by Cannacord Genuity in August 2014. http://www.itworldcanada.com/article/winds-mobiles-numbers-pick-up/96203.</t>
        </r>
      </text>
    </comment>
    <comment ref="I14" authorId="0">
      <text>
        <r>
          <rPr>
            <sz val="10"/>
            <color rgb="FF000000"/>
            <rFont val="Verdana"/>
          </rPr>
          <t xml:space="preserve">Public Mobile was estimated to have added 40,000 subscribers in Q4 2010 (http://www.theglobeandmail.com/technology/wireless-upstarts-score-on-new-subscribers/article1320437/), while an earlier report from Mobile World indicated that as of end of Q2 the company had only 3,584 subscribers. Estimating Q3 additions based on avg of those yields another 21,792 subscribers for a total of 65,376. Ajusted for y-o-y growth by assuming figure of 0 for previous year since company did not launch until 2010. http://mobilesyrup.com/2010/08/05/report-mobilicity-and-public-mobile-have-less-than-7000-subscribers-combined/. ARPU estimate of $25.27 uses 2011 figure (MobileSyrup http://mobilesyrup.com/2012/02/07/public-mobile-has-199000-subscribers/)
</t>
        </r>
      </text>
    </comment>
    <comment ref="J14" authorId="0">
      <text>
        <r>
          <rPr>
            <sz val="10"/>
            <color rgb="FF000000"/>
            <rFont val="Verdana"/>
          </rPr>
          <t xml:space="preserve">199,000 subscribers and ARPU of $25.27. MobileSyrup http://mobilesyrup.com/2012/02/07/public-mobile-has-199000-subscribers/
</t>
        </r>
      </text>
    </comment>
    <comment ref="K14" authorId="0">
      <text>
        <r>
          <rPr>
            <sz val="10"/>
            <color rgb="FF000000"/>
            <rFont val="Verdana"/>
          </rPr>
          <t xml:space="preserve">Public Mobile had an estimated 260,000  subscribers, or 229,500 adjusted for y-o-y growth, in 2012. Revenue based on ARPU estimate of $27.50, i.e. same figure as for Wind.
</t>
        </r>
      </text>
    </comment>
    <comment ref="L14" authorId="0">
      <text>
        <r>
          <rPr>
            <sz val="10"/>
            <color rgb="FF000000"/>
            <rFont val="Verdana"/>
          </rPr>
          <t xml:space="preserve">Estimate of 260,000 subs as of May 2014 -- similar to year end 2012 -- and ARPU of $27.50, i.e. same as 2012. http://business.financialpost.com/2014/03/28/telus-corp-to-shut-down-public-mobiles-network-and-move-260000-customers-to-main-network/?__lsa=c0e1-5e51
</t>
        </r>
      </text>
    </comment>
    <comment ref="M14" authorId="0">
      <text>
        <r>
          <rPr>
            <sz val="10"/>
            <color rgb="FF000000"/>
            <rFont val="Verdana"/>
          </rPr>
          <t>154,900 subscribers at the end of 2014. Avg for year = 207,450 (i.e. 260k in 2013, 154,900 in 2014). Estimated ARPU = $27.50, i.e. same as 2013. http://mobilesyrup.com/2014/11/27/mobilicity-has-154900-active-subscribers-asks-court-for-extension-until-january-30th-2015/</t>
        </r>
      </text>
    </comment>
    <comment ref="I15" authorId="0">
      <text>
        <r>
          <rPr>
            <sz val="10"/>
            <color rgb="FF000000"/>
            <rFont val="Verdana"/>
          </rPr>
          <t xml:space="preserve">Mobilicity announced that it added 50,000 subscribers in Q4 2010 (http://mobilicity.ca/newsroom/mobilicity-exceeds-50000-subscriber-additions-q4-peak-holiday-sales-still-come/), while an earlier report from Mobile World indicated that as of end of Q2 the company had only 3,000 subscribers. Estimating Q3 additions based on avg of those yields another 26,500 subscribers for a total of 89,500 http://mobilesyrup.com/2010/08/05/report-mobilicity-and-public-mobile-have-less-than-7000-subscribers-combined/. ARPU estimate of $25.27 uses 2011 figure for Pubic Mobile (MobileSyrup http://mobilesyrup.com/2012/02/07/public-mobile-has-199000-subscribers/).  Ajusted for y-o-y growth by assuming figure of 0 for previous year since company did not launch until 2010.
</t>
        </r>
      </text>
    </comment>
    <comment ref="J15" authorId="0">
      <text>
        <r>
          <rPr>
            <sz val="10"/>
            <color rgb="FF000000"/>
            <rFont val="Verdana"/>
          </rPr>
          <t xml:space="preserve">Est of 187,000 subscribers + ARPU of $30. http://www.theglobeandmail.com/technology/tech-news/mobilicity-dubs-itself-fastest-growing-wireless-upstart/article546296/
</t>
        </r>
      </text>
    </comment>
    <comment ref="K15" authorId="0">
      <text>
        <r>
          <rPr>
            <sz val="10"/>
            <color rgb="FF000000"/>
            <rFont val="Verdana"/>
          </rPr>
          <t xml:space="preserve">Mobilicity had an estimated 250,000 subscribers, or 218,500 when taking account of y-o-y growth, in 2012. Revenue based on ARPU estimate of $27.50, i.e. same figure as for Wind.
</t>
        </r>
      </text>
    </comment>
    <comment ref="L15" authorId="0">
      <text>
        <r>
          <rPr>
            <sz val="10"/>
            <color rgb="FF000000"/>
            <rFont val="Verdana"/>
          </rPr>
          <t>Estimate of 175,000 subs at year end, or 212,500 adjusted for y-o-y decline, and ARPU of $27.50, i.e. same as 2012. 
http://mobilesyrup.com/2013/12/16/mobilicity-is-expecting-to-end-2013-with-175000-active-customers/</t>
        </r>
      </text>
    </comment>
    <comment ref="M15" authorId="0">
      <text>
        <r>
          <rPr>
            <sz val="10"/>
            <color rgb="FF000000"/>
            <rFont val="Verdana"/>
          </rPr>
          <t>Estimate of 158637 subs at year end, or 166819 adjusted for y-o-y decline, and ARPU of $27.50, i.e. same as 2012. 
http://mobilesyrup.com/2013/12/16/mobilicity-is-expecting-to-end-2013-with-175000-active-customers/ + http://www.theglobeandmail.com/report-on-business/mobilicity-still-seeking-financing-to-bid-on-spectrum/article22581703/</t>
        </r>
      </text>
    </comment>
    <comment ref="K21" authorId="0">
      <text>
        <r>
          <rPr>
            <sz val="10"/>
            <color rgb="FF000000"/>
            <rFont val="Verdana"/>
          </rPr>
          <t>Dwayne Winseck:
ECRTC 2013 CMR p. 158</t>
        </r>
      </text>
    </comment>
    <comment ref="L21" authorId="0">
      <text>
        <r>
          <rPr>
            <sz val="10"/>
            <color rgb="FF000000"/>
            <rFont val="Verdana"/>
          </rPr>
          <t>CRTC 2014 CMR, p. 134.</t>
        </r>
      </text>
    </comment>
    <comment ref="M21" authorId="0">
      <text>
        <r>
          <rPr>
            <sz val="10"/>
            <color rgb="FF000000"/>
            <rFont val="Verdana"/>
          </rPr>
          <t>CRTC 2015 CMR, p. .</t>
        </r>
      </text>
    </comment>
  </commentList>
</comments>
</file>

<file path=xl/comments4.xml><?xml version="1.0" encoding="utf-8"?>
<comments xmlns="http://schemas.openxmlformats.org/spreadsheetml/2006/main">
  <authors>
    <author/>
  </authors>
  <commentList>
    <comment ref="B3" authorId="0">
      <text>
        <r>
          <rPr>
            <sz val="10"/>
            <color rgb="FF000000"/>
            <rFont val="Verdana"/>
          </rPr>
          <t xml:space="preserve">Rogers A/R 2013, p. 102. 
</t>
        </r>
      </text>
    </comment>
    <comment ref="F3" authorId="0">
      <text>
        <r>
          <rPr>
            <sz val="10"/>
            <color rgb="FF000000"/>
            <rFont val="Verdana"/>
          </rPr>
          <t>Rogers, AR 2001, p. 19.</t>
        </r>
      </text>
    </comment>
    <comment ref="G3" authorId="0">
      <text>
        <r>
          <rPr>
            <sz val="10"/>
            <color rgb="FF000000"/>
            <rFont val="Verdana"/>
          </rPr>
          <t>Rogers Annual Report, p.26</t>
        </r>
      </text>
    </comment>
    <comment ref="H3" authorId="0">
      <text>
        <r>
          <rPr>
            <sz val="10"/>
            <color rgb="FF000000"/>
            <rFont val="Verdana"/>
          </rPr>
          <t>LR:
Rogers Annual Report, 2010, p. 34.</t>
        </r>
      </text>
    </comment>
    <comment ref="I3" authorId="0">
      <text>
        <r>
          <rPr>
            <sz val="10"/>
            <color rgb="FF000000"/>
            <rFont val="Verdana"/>
          </rPr>
          <t>LR:
Rogers Annual Report, 2010, p.19
6968</t>
        </r>
      </text>
    </comment>
    <comment ref="J3" authorId="0">
      <text>
        <r>
          <rPr>
            <sz val="10"/>
            <color rgb="FF000000"/>
            <rFont val="Verdana"/>
          </rPr>
          <t>LR:
Rogers Annual Report, p.35</t>
        </r>
      </text>
    </comment>
    <comment ref="K3" authorId="0">
      <text>
        <r>
          <rPr>
            <sz val="10"/>
            <color rgb="FF000000"/>
            <rFont val="Verdana"/>
          </rPr>
          <t xml:space="preserve">LR:
Rogers Annual report, 2012, p35
</t>
        </r>
      </text>
    </comment>
    <comment ref="L3" authorId="0">
      <text>
        <r>
          <rPr>
            <sz val="10"/>
            <color rgb="FF000000"/>
            <rFont val="Verdana"/>
          </rPr>
          <t xml:space="preserve">Rogers A/R 2013, p. 102. 
</t>
        </r>
      </text>
    </comment>
    <comment ref="E4" authorId="0">
      <text>
        <r>
          <rPr>
            <sz val="10"/>
            <color rgb="FF000000"/>
            <rFont val="Verdana"/>
          </rPr>
          <t>Microcell, AR 1997, p. 20.</t>
        </r>
      </text>
    </comment>
    <comment ref="F4" authorId="0">
      <text>
        <r>
          <rPr>
            <sz val="10"/>
            <color rgb="FF000000"/>
            <rFont val="Verdana"/>
          </rPr>
          <t>Microcell, AR 2000, p. 20.</t>
        </r>
      </text>
    </comment>
    <comment ref="G4" authorId="0">
      <text>
        <r>
          <rPr>
            <sz val="10"/>
            <color rgb="FF000000"/>
            <rFont val="Verdana"/>
          </rPr>
          <t>Rogers acquired Microcell in 2004.</t>
        </r>
      </text>
    </comment>
    <comment ref="F5" authorId="0">
      <text>
        <r>
          <rPr>
            <sz val="10"/>
            <color rgb="FF000000"/>
            <rFont val="Verdana"/>
          </rPr>
          <t xml:space="preserve">Telus Annual Report 2013, p. 40
</t>
        </r>
      </text>
    </comment>
    <comment ref="G5" authorId="0">
      <text>
        <r>
          <rPr>
            <sz val="10"/>
            <color rgb="FF000000"/>
            <rFont val="Verdana"/>
          </rPr>
          <t>LR:
Telus Annual Report, 2004 p.8</t>
        </r>
      </text>
    </comment>
    <comment ref="H5" authorId="0">
      <text>
        <r>
          <rPr>
            <sz val="10"/>
            <color rgb="FF000000"/>
            <rFont val="Verdana"/>
          </rPr>
          <t xml:space="preserve">Telus Annuaal Report 2013, p. 40. </t>
        </r>
      </text>
    </comment>
    <comment ref="I5" authorId="0">
      <text>
        <r>
          <rPr>
            <sz val="10"/>
            <color rgb="FF000000"/>
            <rFont val="Verdana"/>
          </rPr>
          <t>Telus Annual Report 2013, p. 40</t>
        </r>
      </text>
    </comment>
    <comment ref="J5" authorId="0">
      <text>
        <r>
          <rPr>
            <sz val="10"/>
            <color rgb="FF000000"/>
            <rFont val="Verdana"/>
          </rPr>
          <t>Telus Annual Report 2013, p. 40</t>
        </r>
      </text>
    </comment>
    <comment ref="K5" authorId="0">
      <text>
        <r>
          <rPr>
            <sz val="10"/>
            <color rgb="FF000000"/>
            <rFont val="Verdana"/>
          </rPr>
          <t>Telus Annual Report 2013, p. 40</t>
        </r>
      </text>
    </comment>
    <comment ref="L5" authorId="0">
      <text>
        <r>
          <rPr>
            <sz val="10"/>
            <color rgb="FF000000"/>
            <rFont val="Verdana"/>
          </rPr>
          <t xml:space="preserve">Telus Annual Report 2013, p. 40
</t>
        </r>
      </text>
    </comment>
    <comment ref="E6" authorId="0">
      <text>
        <r>
          <rPr>
            <sz val="10"/>
            <color rgb="FF000000"/>
            <rFont val="Verdana"/>
          </rPr>
          <t>Microcell, AR 1997, p. 20.</t>
        </r>
      </text>
    </comment>
    <comment ref="F6" authorId="0">
      <text>
        <r>
          <rPr>
            <sz val="10"/>
            <color rgb="FF000000"/>
            <rFont val="Verdana"/>
          </rPr>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This was equal to rougly 4.9% market share at the time. </t>
        </r>
      </text>
    </comment>
    <comment ref="B7" authorId="0">
      <text>
        <r>
          <rPr>
            <sz val="10"/>
            <color rgb="FF000000"/>
            <rFont val="Verdana"/>
          </rPr>
          <t xml:space="preserve">BCE, A/R 2013, pp. 53+72.
</t>
        </r>
      </text>
    </comment>
    <comment ref="F7" authorId="0">
      <text>
        <r>
          <rPr>
            <sz val="10"/>
            <color rgb="FF000000"/>
            <rFont val="Verdana"/>
          </rPr>
          <t xml:space="preserve">LR:
BCE Annual Report, 2000 p 15 + Bell Aliant AR 2001, p. 50, note 18. </t>
        </r>
      </text>
    </comment>
    <comment ref="G7" authorId="0">
      <text>
        <r>
          <rPr>
            <sz val="10"/>
            <color rgb="FF000000"/>
            <rFont val="Verdana"/>
          </rPr>
          <t>LR:
BCE Annual Report 2004, p.56 + Bell Aliant, 2004, p. 31.</t>
        </r>
      </text>
    </comment>
    <comment ref="H7" authorId="0">
      <text>
        <r>
          <rPr>
            <sz val="10"/>
            <color rgb="FF000000"/>
            <rFont val="Verdana"/>
          </rPr>
          <t>LR:
BCE Annual Report 2008, p.9 + p. 45</t>
        </r>
      </text>
    </comment>
    <comment ref="I7" authorId="0">
      <text>
        <r>
          <rPr>
            <sz val="10"/>
            <color rgb="FF000000"/>
            <rFont val="Verdana"/>
          </rPr>
          <t>LR:
BCE Annual Report 2010, pp. 44-47.</t>
        </r>
      </text>
    </comment>
    <comment ref="J7" authorId="0">
      <text>
        <r>
          <rPr>
            <sz val="10"/>
            <color rgb="FF000000"/>
            <rFont val="Verdana"/>
          </rPr>
          <t>LR:
BCE Annual Report 2011 pp. 44&amp;47.</t>
        </r>
      </text>
    </comment>
    <comment ref="K7" authorId="0">
      <text>
        <r>
          <rPr>
            <sz val="10"/>
            <color rgb="FF000000"/>
            <rFont val="Verdana"/>
          </rPr>
          <t>LR:
BCE Annual Report 2013, pp. 53+72.</t>
        </r>
      </text>
    </comment>
    <comment ref="L7" authorId="0">
      <text>
        <r>
          <rPr>
            <sz val="10"/>
            <color rgb="FF000000"/>
            <rFont val="Verdana"/>
          </rPr>
          <t xml:space="preserve">BCE, A/R 2013, pp. 53+72.
</t>
        </r>
      </text>
    </comment>
    <comment ref="F8" authorId="0">
      <text>
        <r>
          <rPr>
            <sz val="10"/>
            <color rgb="FF000000"/>
            <rFont val="Verdana"/>
          </rPr>
          <t>Brian Wilkinson:
BCE, A/R 2013, p. 53.</t>
        </r>
      </text>
    </comment>
    <comment ref="G8" authorId="0">
      <text>
        <r>
          <rPr>
            <sz val="10"/>
            <color rgb="FF000000"/>
            <rFont val="Verdana"/>
          </rPr>
          <t>Brian Wilkinson:
BCE, AR 2004, p. 56.</t>
        </r>
      </text>
    </comment>
    <comment ref="H8" authorId="0">
      <text>
        <r>
          <rPr>
            <sz val="10"/>
            <color rgb="FF000000"/>
            <rFont val="Verdana"/>
          </rPr>
          <t xml:space="preserve">BCE Annual Report 2008, p. 39. </t>
        </r>
      </text>
    </comment>
    <comment ref="I8" authorId="0">
      <text>
        <r>
          <rPr>
            <sz val="10"/>
            <color rgb="FF000000"/>
            <rFont val="Verdana"/>
          </rPr>
          <t>Brian Wilkinson:
BCE A/R  2011 , p. 44.</t>
        </r>
      </text>
    </comment>
    <comment ref="J8" authorId="0">
      <text>
        <r>
          <rPr>
            <sz val="10"/>
            <color rgb="FF000000"/>
            <rFont val="Verdana"/>
          </rPr>
          <t>Brian Wilkinson:
BCE  A/R 2011, p. 44.</t>
        </r>
      </text>
    </comment>
    <comment ref="K8" authorId="0">
      <text>
        <r>
          <rPr>
            <sz val="10"/>
            <color rgb="FF000000"/>
            <rFont val="Verdana"/>
          </rPr>
          <t xml:space="preserve">BCE, A/R 2013, p. 53.
</t>
        </r>
      </text>
    </comment>
    <comment ref="L8" authorId="0">
      <text>
        <r>
          <rPr>
            <sz val="10"/>
            <color rgb="FF000000"/>
            <rFont val="Verdana"/>
          </rPr>
          <t>Brian Wilkinson:
BCE, A/R 2013, p. 53.</t>
        </r>
      </text>
    </comment>
    <comment ref="F9" authorId="0">
      <text>
        <r>
          <rPr>
            <sz val="10"/>
            <color rgb="FF000000"/>
            <rFont val="Verdana"/>
          </rPr>
          <t xml:space="preserve">BCE A/R 2013, p. 72
</t>
        </r>
      </text>
    </comment>
    <comment ref="G9" authorId="0">
      <text>
        <r>
          <rPr>
            <sz val="10"/>
            <color rgb="FF000000"/>
            <rFont val="Verdana"/>
          </rPr>
          <t xml:space="preserve">Bell Aliant, 2004, p. 31.
</t>
        </r>
      </text>
    </comment>
    <comment ref="H9" authorId="0">
      <text>
        <r>
          <rPr>
            <sz val="10"/>
            <color rgb="FF000000"/>
            <rFont val="Verdana"/>
          </rPr>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r>
      </text>
    </comment>
    <comment ref="I9" authorId="0">
      <text>
        <r>
          <rPr>
            <sz val="10"/>
            <color rgb="FF000000"/>
            <rFont val="Verdana"/>
          </rPr>
          <t>Brian Wilkinson:
BCE, 2011 AR, p. 47.</t>
        </r>
      </text>
    </comment>
    <comment ref="J9" authorId="0">
      <text>
        <r>
          <rPr>
            <sz val="10"/>
            <color rgb="FF000000"/>
            <rFont val="Verdana"/>
          </rPr>
          <t>Brian Wilkinson:
BCE, AR 2011, p. 47</t>
        </r>
      </text>
    </comment>
    <comment ref="K9" authorId="0">
      <text>
        <r>
          <rPr>
            <sz val="10"/>
            <color rgb="FF000000"/>
            <rFont val="Verdana"/>
          </rPr>
          <t xml:space="preserve">BCE A/R 2013, p. 72.
</t>
        </r>
      </text>
    </comment>
    <comment ref="L9" authorId="0">
      <text>
        <r>
          <rPr>
            <sz val="10"/>
            <color rgb="FF000000"/>
            <rFont val="Verdana"/>
          </rPr>
          <t xml:space="preserve">BCE A/R 2013, p. 72
</t>
        </r>
      </text>
    </comment>
    <comment ref="F10" authorId="0">
      <text>
        <r>
          <rPr>
            <sz val="10"/>
            <color rgb="FF000000"/>
            <rFont val="Verdana"/>
          </rPr>
          <t>Brian Wilkinson:.
SaskTel, AR 2013, p. 36</t>
        </r>
      </text>
    </comment>
    <comment ref="G10" authorId="0">
      <text>
        <r>
          <rPr>
            <sz val="10"/>
            <color rgb="FF000000"/>
            <rFont val="Verdana"/>
          </rPr>
          <t>SaskTel, AR 2005, p. 27.</t>
        </r>
      </text>
    </comment>
    <comment ref="H10" authorId="0">
      <text>
        <r>
          <rPr>
            <sz val="10"/>
            <color rgb="FF000000"/>
            <rFont val="Verdana"/>
          </rPr>
          <t>SaskTel, AR 2009, p. 33.</t>
        </r>
      </text>
    </comment>
    <comment ref="I10" authorId="0">
      <text>
        <r>
          <rPr>
            <sz val="10"/>
            <color rgb="FF000000"/>
            <rFont val="Verdana"/>
          </rPr>
          <t xml:space="preserve">LR:
SaskTel Annual Report 2010, p.30
</t>
        </r>
      </text>
    </comment>
    <comment ref="J10" authorId="0">
      <text>
        <r>
          <rPr>
            <sz val="10"/>
            <color rgb="FF000000"/>
            <rFont val="Verdana"/>
          </rPr>
          <t>LR:
SaskTel Annual Report, 2012 p.30</t>
        </r>
      </text>
    </comment>
    <comment ref="K10" authorId="0">
      <text>
        <r>
          <rPr>
            <sz val="10"/>
            <color rgb="FF000000"/>
            <rFont val="Verdana"/>
          </rPr>
          <t>LR:
SaskTel Annual Report, 2012 p.30</t>
        </r>
      </text>
    </comment>
    <comment ref="L10" authorId="0">
      <text>
        <r>
          <rPr>
            <sz val="10"/>
            <color rgb="FF000000"/>
            <rFont val="Verdana"/>
          </rPr>
          <t>Brian Wilkinson:.
SaskTel, AR 2013, p. 36</t>
        </r>
      </text>
    </comment>
    <comment ref="F11" authorId="0">
      <text>
        <r>
          <rPr>
            <sz val="10"/>
            <color rgb="FF000000"/>
            <rFont val="Verdana"/>
          </rPr>
          <t xml:space="preserve">MTS, A/R 2013, p. 2. 
</t>
        </r>
      </text>
    </comment>
    <comment ref="G11" authorId="0">
      <text>
        <r>
          <rPr>
            <sz val="10"/>
            <color rgb="FF000000"/>
            <rFont val="Verdana"/>
          </rPr>
          <t xml:space="preserve">MTS AR 2005, p. 22.
</t>
        </r>
      </text>
    </comment>
    <comment ref="I11" authorId="0">
      <text>
        <r>
          <rPr>
            <sz val="10"/>
            <color rgb="FF000000"/>
            <rFont val="Verdana"/>
          </rPr>
          <t>LR:
MTS Annual Report, 2011; p.15</t>
        </r>
      </text>
    </comment>
    <comment ref="J11" authorId="0">
      <text>
        <r>
          <rPr>
            <sz val="10"/>
            <color rgb="FF000000"/>
            <rFont val="Verdana"/>
          </rPr>
          <t>LR:
MTS Annual Report 2011, p.15</t>
        </r>
      </text>
    </comment>
    <comment ref="K11" authorId="0">
      <text>
        <r>
          <rPr>
            <sz val="10"/>
            <color rgb="FF000000"/>
            <rFont val="Verdana"/>
          </rPr>
          <t>LR:
MTS Annual Report, 2012 p.3</t>
        </r>
      </text>
    </comment>
    <comment ref="L11" authorId="0">
      <text>
        <r>
          <rPr>
            <sz val="10"/>
            <color rgb="FF000000"/>
            <rFont val="Verdana"/>
          </rPr>
          <t xml:space="preserve">MTS, A/R 2013, p. 2. 
</t>
        </r>
      </text>
    </comment>
    <comment ref="H12" authorId="0">
      <text>
        <r>
          <rPr>
            <sz val="10"/>
            <color rgb="FF000000"/>
            <rFont val="Verdana"/>
          </rPr>
          <t xml:space="preserve">Quebecor Financial Review 2013, p. 13.
</t>
        </r>
      </text>
    </comment>
    <comment ref="J12" authorId="0">
      <text>
        <r>
          <rPr>
            <sz val="10"/>
            <color rgb="FF000000"/>
            <rFont val="Verdana"/>
          </rPr>
          <t xml:space="preserve">Quebecor Management Discussion and Analysis, 2012, p. 11.http://www.quebecor.com/sites/default/files/2012Q4/MDA_QI_Q4_2012Ang_FINAL.pdf
</t>
        </r>
      </text>
    </comment>
    <comment ref="K12" authorId="0">
      <text>
        <r>
          <rPr>
            <sz val="10"/>
            <color rgb="FF000000"/>
            <rFont val="Verdana"/>
          </rPr>
          <t xml:space="preserve">Brian Wilkinson: Quebecor Management Discussion and Analysis, 2012, p. 11.http://www.quebecor.com/sites/default/files/2012Q4/MDA_QI_Q4_2012Ang_FINAL.pdf
</t>
        </r>
      </text>
    </comment>
    <comment ref="L12" authorId="0">
      <text>
        <r>
          <rPr>
            <sz val="10"/>
            <color rgb="FF000000"/>
            <rFont val="Verdana"/>
          </rPr>
          <t xml:space="preserve">Quebecor Financial Review 2013, p. 13.
</t>
        </r>
      </text>
    </comment>
    <comment ref="I13" authorId="0">
      <text>
        <r>
          <rPr>
            <sz val="10"/>
            <color rgb="FF000000"/>
            <rFont val="Verdana"/>
          </rPr>
          <t>676,000 subs * $29.10 ARPU. Source: Company.</t>
        </r>
      </text>
    </comment>
    <comment ref="J13" authorId="0">
      <text>
        <r>
          <rPr>
            <sz val="10"/>
            <color rgb="FF000000"/>
            <rFont val="Verdana"/>
          </rPr>
          <t xml:space="preserve">403,000 subs * $27 ARPU. Source: Company.
</t>
        </r>
      </text>
    </comment>
    <comment ref="K13" authorId="0">
      <text>
        <r>
          <rPr>
            <sz val="10"/>
            <color rgb="FF000000"/>
            <rFont val="Verdana"/>
          </rPr>
          <t>590,000 subs * $27.80 ARPU. Source: Company.</t>
        </r>
      </text>
    </comment>
    <comment ref="L13" authorId="0">
      <text>
        <r>
          <rPr>
            <sz val="10"/>
            <color rgb="FF000000"/>
            <rFont val="Verdana"/>
          </rPr>
          <t>676,000 subs * $29.10 ARPU. Source: Company.</t>
        </r>
      </text>
    </comment>
    <comment ref="I14" authorId="0">
      <text>
        <r>
          <rPr>
            <sz val="10"/>
            <color rgb="FF000000"/>
            <rFont val="Verdana"/>
          </rPr>
          <t xml:space="preserve">Estimate of 260,000 subs as of May 2014 -- similar to year end 2012 -- and ARPU of $27.50, i.e. same as 2012. http://business.financialpost.com/2014/03/28/telus-corp-to-shut-down-public-mobiles-network-and-move-260000-customers-to-main-network/?__lsa=c0e1-5e51
</t>
        </r>
      </text>
    </comment>
    <comment ref="J14" authorId="0">
      <text>
        <r>
          <rPr>
            <sz val="10"/>
            <color rgb="FF000000"/>
            <rFont val="Verdana"/>
          </rPr>
          <t xml:space="preserve">199,000 subscribers and ARPU of $25.27. MobileSyrup http://mobilesyrup.com/2012/02/07/public-mobile-has-199000-subscribers/
</t>
        </r>
      </text>
    </comment>
    <comment ref="K14" authorId="0">
      <text>
        <r>
          <rPr>
            <sz val="10"/>
            <color rgb="FF000000"/>
            <rFont val="Verdana"/>
          </rPr>
          <t xml:space="preserve">Public Mobile had an estimated 260,000  subscribers, or 229,500 adjusted for y-o-y growth, in 2012. Revenue based on ARPU estimate of $27.50, i.e. same figure as for Wind.
</t>
        </r>
      </text>
    </comment>
    <comment ref="L14" authorId="0">
      <text>
        <r>
          <rPr>
            <sz val="10"/>
            <color rgb="FF000000"/>
            <rFont val="Verdana"/>
          </rPr>
          <t xml:space="preserve">Estimate of 260,000 subs as of May 2014 -- similar to year end 2012 -- and ARPU of $27.50, i.e. same as 2012. http://business.financialpost.com/2014/03/28/telus-corp-to-shut-down-public-mobiles-network-and-move-260000-customers-to-main-network/?__lsa=c0e1-5e51
</t>
        </r>
      </text>
    </comment>
    <comment ref="I15" authorId="0">
      <text>
        <r>
          <rPr>
            <sz val="10"/>
            <color rgb="FF000000"/>
            <rFont val="Verdana"/>
          </rPr>
          <t>Estimate of 175,000 subs at year end, or 212,500 adjusted for y-o-y decline, and ARPU of $27.50, i.e. same as 2012. 
http://mobilesyrup.com/2013/12/16/mobilicity-is-expecting-to-end-2013-with-175000-active-customers/</t>
        </r>
      </text>
    </comment>
    <comment ref="J15" authorId="0">
      <text>
        <r>
          <rPr>
            <sz val="10"/>
            <color rgb="FF000000"/>
            <rFont val="Verdana"/>
          </rPr>
          <t xml:space="preserve">Est of 187,000 subscribers + ARPU of $30. http://www.theglobeandmail.com/technology/tech-news/mobilicity-dubs-itself-fastest-growing-wireless-upstart/article546296/
</t>
        </r>
      </text>
    </comment>
    <comment ref="K15" authorId="0">
      <text>
        <r>
          <rPr>
            <sz val="10"/>
            <color rgb="FF000000"/>
            <rFont val="Verdana"/>
          </rPr>
          <t xml:space="preserve">Mobilicity had an estimated 250,000 subscribers, or 218,500 when taking account of y-o-y growth, in 2012. Revenue based on ARPU estimate of $27.50, i.e. same figure as for Wind.
</t>
        </r>
      </text>
    </comment>
    <comment ref="L15" authorId="0">
      <text>
        <r>
          <rPr>
            <sz val="10"/>
            <color rgb="FF000000"/>
            <rFont val="Verdana"/>
          </rPr>
          <t>Estimate of 175,000 subs at year end, or 212,500 adjusted for y-o-y decline, and ARPU of $27.50, i.e. same as 2012. 
http://mobilesyrup.com/2013/12/16/mobilicity-is-expecting-to-end-2013-with-175000-active-customers/</t>
        </r>
      </text>
    </comment>
    <comment ref="B21" authorId="0">
      <text>
        <r>
          <rPr>
            <sz val="10"/>
            <color rgb="FF000000"/>
            <rFont val="Verdana"/>
          </rPr>
          <t>Estimated based on annual growth rate of 6.6% for 2011-2012, as cited in CRTC's CMR 2013, p. 158.</t>
        </r>
      </text>
    </comment>
    <comment ref="K21" authorId="0">
      <text>
        <r>
          <rPr>
            <sz val="10"/>
            <color rgb="FF000000"/>
            <rFont val="Verdana"/>
          </rPr>
          <t>Dwayne Winseck:
ECRTC 2013 CMR p. 158</t>
        </r>
      </text>
    </comment>
    <comment ref="L21" authorId="0">
      <text>
        <r>
          <rPr>
            <sz val="10"/>
            <color rgb="FF000000"/>
            <rFont val="Verdana"/>
          </rPr>
          <t>Estimated based on annual growth rate of 6.6% for 2011-2012, as cited in CRTC's CMR 2013, p. 158.</t>
        </r>
      </text>
    </comment>
  </commentList>
</comments>
</file>

<file path=xl/comments5.xml><?xml version="1.0" encoding="utf-8"?>
<comments xmlns="http://schemas.openxmlformats.org/spreadsheetml/2006/main">
  <authors>
    <author/>
  </authors>
  <commentList>
    <comment ref="J3" authorId="0">
      <text>
        <r>
          <rPr>
            <sz val="10"/>
            <color rgb="FF000000"/>
            <rFont val="Verdana"/>
          </rPr>
          <t xml:space="preserve">3,297,025 subscribers. BCE AR 2014, p. 45. 2.3 million for Bell, 1 million for Bell Aliant. BCE AR 2014, p. 12. </t>
        </r>
      </text>
    </comment>
    <comment ref="B4" authorId="0">
      <text>
        <r>
          <rPr>
            <sz val="10"/>
            <color rgb="FF000000"/>
            <rFont val="Verdana"/>
          </rPr>
          <t xml:space="preserve">Estimate based on total number of subscribers * estimated ARPU for 1997 of $11.42.
</t>
        </r>
      </text>
    </comment>
    <comment ref="C4" authorId="0">
      <text>
        <r>
          <rPr>
            <sz val="10"/>
            <color rgb="FF000000"/>
            <rFont val="Verdana"/>
          </rPr>
          <t xml:space="preserve">Estimate based on * of subs (1,183,000) * Aliant's blended high-speed and dial up ARPU of $24.89 (Bell Aliant, AR 2000, p. 32).
</t>
        </r>
      </text>
    </comment>
    <comment ref="D4" authorId="0">
      <text>
        <r>
          <rPr>
            <sz val="10"/>
            <color rgb="FF000000"/>
            <rFont val="Verdana"/>
          </rPr>
          <t xml:space="preserve">Estimate based on * of subs (2,551,000) * Aliant's blended high-speed and dial up ARPU of $24.89 (Bell Aliant, AR 2000, p. 32).
</t>
        </r>
      </text>
    </comment>
    <comment ref="E4" authorId="0">
      <text>
        <r>
          <rPr>
            <sz val="10"/>
            <color rgb="FF000000"/>
            <rFont val="Verdana"/>
          </rPr>
          <t xml:space="preserve">Bell HSIA subscribers 1,851,800. BCE 2010 AR, p. 10. ARPU based on Bell Aliant figure of $36.01. Bell Aliant, AR 2009, p. 70 + estimated 353,300 dial up subscribers at ARPU of $21.52.
</t>
        </r>
      </text>
    </comment>
    <comment ref="F4" authorId="0">
      <text>
        <r>
          <rPr>
            <sz val="10"/>
            <color rgb="FF000000"/>
            <rFont val="Verdana"/>
          </rPr>
          <t xml:space="preserve">Bell HSIA subscribers 2,097,300. BCE 2011 AR, p. 25. ARPU based on Bell Aliant figure of $47.16. Bell Aliant, AR 2010, p. 73 + estimated 242,700 dial up subscribers at ARPU of $21.86.
</t>
        </r>
      </text>
    </comment>
    <comment ref="G4" authorId="0">
      <text>
        <r>
          <rPr>
            <sz val="10"/>
            <color rgb="FF000000"/>
            <rFont val="Verdana"/>
          </rPr>
          <t xml:space="preserve">Bell HSIA subscribers 2,112,800. BCE 2013 AR, p. 61. ARPU based on Bell Aliant figure of $42.48 Bell Aliant, AR 2013, p. 54 + estimated 201,500 dial up subscribers at ARPU of $23.37.
</t>
        </r>
      </text>
    </comment>
    <comment ref="H4" authorId="0">
      <text>
        <r>
          <rPr>
            <sz val="10"/>
            <color rgb="FF000000"/>
            <rFont val="Verdana"/>
          </rPr>
          <t xml:space="preserve">2,126,800 subscribers. BCE AR 2013, p. 61. ARPU of $44.91 from Bell Aliant AR 2012, p. 56 + estimated 167,200 dial up subscribers at ARPU of $19.58. 
</t>
        </r>
      </text>
    </comment>
    <comment ref="I4" authorId="0">
      <text>
        <r>
          <rPr>
            <sz val="10"/>
            <color rgb="FF000000"/>
            <rFont val="Verdana"/>
          </rPr>
          <t xml:space="preserve">Bell HSIA subscribers 2,184,543. BCE 2013 AR, p. 61. ARPU based on Bell Aliant figure of $47.16. Bell Aliant, AR 2013, p. 54+ estimated 138,800 dial up subscribers at ARPU of $19.44. 
</t>
        </r>
      </text>
    </comment>
    <comment ref="J4" authorId="0">
      <text>
        <r>
          <rPr>
            <sz val="10"/>
            <color rgb="FF000000"/>
            <rFont val="Verdana"/>
          </rPr>
          <t>2,287,489 subscribers * ARPU of $49.73 BCE AR 2014, p. 62. ARPU from Bell Aliant Supplement Investor Information, Q3 http://www.bell.aliant.ca/english/ir/pdf/2014-Q3/2014_Q3_Supplemental.pdf</t>
        </r>
      </text>
    </comment>
    <comment ref="C5" authorId="0">
      <text>
        <r>
          <rPr>
            <sz val="10"/>
            <color rgb="FF000000"/>
            <rFont val="Verdana"/>
          </rPr>
          <t xml:space="preserve">Bell Aliant, AR 2000, p. 32.
</t>
        </r>
      </text>
    </comment>
    <comment ref="D5" authorId="0">
      <text>
        <r>
          <rPr>
            <sz val="10"/>
            <color rgb="FF000000"/>
            <rFont val="Verdana"/>
          </rPr>
          <t>Bell Aliant, AR 2004, p. 2.
Clear statement of total $.</t>
        </r>
      </text>
    </comment>
    <comment ref="E5" authorId="0">
      <text>
        <r>
          <rPr>
            <sz val="10"/>
            <color rgb="FF000000"/>
            <rFont val="Verdana"/>
          </rPr>
          <t xml:space="preserve">762,000 subscribers.Bell Aliant Supplemental Financial Information 4th Quarter 2009, p. 8. http://bellaliant.ca/english/ir/pdf/2009_Q4_supplemental.pdf
</t>
        </r>
      </text>
    </comment>
    <comment ref="F5" authorId="0">
      <text>
        <r>
          <rPr>
            <sz val="10"/>
            <color rgb="FF000000"/>
            <rFont val="Verdana"/>
          </rPr>
          <t xml:space="preserve">Bell Aliant Supplemental Financial Information 4th Quarter 2011, p. 8. http://bellaliant.ca/english/ir/pdf/2011]_Q4_supplemental.pdf
</t>
        </r>
      </text>
    </comment>
    <comment ref="G5" authorId="0">
      <text>
        <r>
          <rPr>
            <sz val="10"/>
            <color rgb="FF000000"/>
            <rFont val="Verdana"/>
          </rPr>
          <t>895,500 subscribers. Bell Aliant Supplemental Financial Information 4th Quarter 2012, p. 8. http://bellaliant.ca/english/ir/pdf/2012_Q4_supplemental.pdf</t>
        </r>
      </text>
    </comment>
    <comment ref="H5" authorId="0">
      <text>
        <r>
          <rPr>
            <sz val="10"/>
            <color rgb="FF000000"/>
            <rFont val="Verdana"/>
          </rPr>
          <t xml:space="preserve">918,414 subscribers. BCE AR 2013, p. 72. Bell Aliant Supplemental Financial Information 4th Quarter 2012, p. 8. http://bellaliant.ca/english/ir/pdf/2012_Q4_supplemental.pdf
</t>
        </r>
      </text>
    </comment>
    <comment ref="I5" authorId="0">
      <text>
        <r>
          <rPr>
            <sz val="10"/>
            <color rgb="FF000000"/>
            <rFont val="Verdana"/>
          </rPr>
          <t xml:space="preserve">952,093 subscribers. BCE 2013 AR, p. 71. ARPU = $47.16. Bell Aliant, AR 2013, p. 54
</t>
        </r>
      </text>
    </comment>
    <comment ref="J5" authorId="0">
      <text>
        <r>
          <rPr>
            <sz val="10"/>
            <color rgb="FF000000"/>
            <rFont val="Verdana"/>
          </rPr>
          <t>1,009,537 subscribers * ARPU of $49.73/mo. Subscriber numbers from BCE AR 2014, p. 62; ARPU from Bell Aliant Supplement Investor Information, Q3 http://www.bell.aliant.ca/english/ir/pdf/2014-Q3/2014_Q3_Supplemental.pdf</t>
        </r>
      </text>
    </comment>
    <comment ref="C10" authorId="0">
      <text>
        <r>
          <rPr>
            <sz val="10"/>
            <color rgb="FF000000"/>
            <rFont val="Verdana"/>
          </rPr>
          <t>Rogers, AR 2001, p. 23.</t>
        </r>
      </text>
    </comment>
    <comment ref="D10" authorId="0">
      <text>
        <r>
          <rPr>
            <sz val="10"/>
            <color rgb="FF000000"/>
            <rFont val="Verdana"/>
          </rPr>
          <t>Rogers, AR 2004, p. 35.</t>
        </r>
      </text>
    </comment>
    <comment ref="E10" authorId="0">
      <text>
        <r>
          <rPr>
            <sz val="10"/>
            <color rgb="FF000000"/>
            <rFont val="Verdana"/>
          </rPr>
          <t>LR:
Rogers Annual Report, 2009 p.35</t>
        </r>
      </text>
    </comment>
    <comment ref="F10" authorId="0">
      <text>
        <r>
          <rPr>
            <sz val="10"/>
            <color rgb="FF000000"/>
            <rFont val="Verdana"/>
          </rPr>
          <t xml:space="preserve">Rogers, AR 2010, p. 35.
</t>
        </r>
      </text>
    </comment>
    <comment ref="G10" authorId="0">
      <text>
        <r>
          <rPr>
            <sz val="10"/>
            <color rgb="FF000000"/>
            <rFont val="Verdana"/>
          </rPr>
          <t xml:space="preserve">LR:
Rogers Annual Report 2012, p. 39. 
</t>
        </r>
      </text>
    </comment>
    <comment ref="H10" authorId="0">
      <text>
        <r>
          <rPr>
            <sz val="10"/>
            <color rgb="FF000000"/>
            <rFont val="Verdana"/>
          </rPr>
          <t>Dwayne Winseck:
Rogers Annual Report 2012, p. 39.</t>
        </r>
      </text>
    </comment>
    <comment ref="I10" authorId="0">
      <text>
        <r>
          <rPr>
            <sz val="10"/>
            <color rgb="FF000000"/>
            <rFont val="Verdana"/>
          </rPr>
          <t xml:space="preserve">Rogers AR 2013, p. 43. 
</t>
        </r>
      </text>
    </comment>
    <comment ref="J10" authorId="0">
      <text>
        <r>
          <rPr>
            <sz val="10"/>
            <color rgb="FF000000"/>
            <rFont val="Verdana"/>
          </rPr>
          <t>Rogers A/R 2014, p. 46. ARPU = $51.59.</t>
        </r>
      </text>
    </comment>
    <comment ref="C11" authorId="0">
      <text>
        <r>
          <rPr>
            <sz val="10"/>
            <color rgb="FF000000"/>
            <rFont val="Verdana"/>
          </rPr>
          <t>Shaw AR 2001, p. 11</t>
        </r>
      </text>
    </comment>
    <comment ref="D11" authorId="0">
      <text>
        <r>
          <rPr>
            <sz val="10"/>
            <color rgb="FF000000"/>
            <rFont val="Verdana"/>
          </rPr>
          <t xml:space="preserve">High speed internet subs of 1,020,938 (Shaw, AR 2004, p. 33) * avg of Rogers and Quebecor's ARPU ($35.30)
</t>
        </r>
      </text>
    </comment>
    <comment ref="E11" authorId="0">
      <text>
        <r>
          <rPr>
            <sz val="10"/>
            <color rgb="FF000000"/>
            <rFont val="Verdana"/>
          </rPr>
          <t xml:space="preserve">High speed internet subs of 1,565,962 (Shaw, AR 2008, p. 37) * avg of Rogers and Quebecor's ARPU ($38.0)A/R 2008, p. 37
</t>
        </r>
      </text>
    </comment>
    <comment ref="F11" authorId="0">
      <text>
        <r>
          <rPr>
            <sz val="10"/>
            <color rgb="FF000000"/>
            <rFont val="Verdana"/>
          </rPr>
          <t xml:space="preserve">High speed internet subs of 1,823,013 (Shaw, AR 2011, p. 57) * avg of Rogers and Quebecor's ARPU ($42.40).
</t>
        </r>
      </text>
    </comment>
    <comment ref="G11" authorId="0">
      <text>
        <r>
          <rPr>
            <sz val="10"/>
            <color rgb="FF000000"/>
            <rFont val="Verdana"/>
          </rPr>
          <t>High speed internet subs of 1,877,231 (Shaw, AR 2011, p. 57) * avg of Rogers and Quebecor's ARPU ($43.35)</t>
        </r>
      </text>
    </comment>
    <comment ref="H11" authorId="0">
      <text>
        <r>
          <rPr>
            <sz val="10"/>
            <color rgb="FF000000"/>
            <rFont val="Verdana"/>
          </rPr>
          <t>Dwayne High speed internet subs of 1862,473 (Shaw, AR 2013, p. 48) * avg of Rogers and Quebecor's ARPU ($45.50)</t>
        </r>
      </text>
    </comment>
    <comment ref="I11" authorId="0">
      <text>
        <r>
          <rPr>
            <sz val="10"/>
            <color rgb="FF000000"/>
            <rFont val="Verdana"/>
          </rPr>
          <t xml:space="preserve">High speed internet subs of 1,890,506 (Shaw, AR 2013, p. 48) * avg of Rogers and Quebecor's ARPU ($48.67)
</t>
        </r>
      </text>
    </comment>
    <comment ref="J11" authorId="0">
      <text>
        <r>
          <rPr>
            <sz val="10"/>
            <color rgb="FF000000"/>
            <rFont val="Verdana"/>
          </rPr>
          <t>BK Shaw HSIS subs 1,930,401 (Shaw AR 2014 p. 49) * Average Rogers &amp; Québecor ARPU ($49.33) * 12</t>
        </r>
      </text>
    </comment>
    <comment ref="H13" authorId="0">
      <text>
        <r>
          <rPr>
            <sz val="10"/>
            <color rgb="FF000000"/>
            <rFont val="Verdana"/>
          </rPr>
          <t>Dwayne Winseck:
Quebecor Management Discussion and Analysis, 2012, p. 11.http://www.quebecor.com/sites/default/files/2012Q4/MDA_QI_Q4_2012Ang_FINAL.pdf</t>
        </r>
      </text>
    </comment>
    <comment ref="I13" authorId="0">
      <text>
        <r>
          <rPr>
            <sz val="10"/>
            <color rgb="FF000000"/>
            <rFont val="Verdana"/>
          </rPr>
          <t>Brian Wilkinson:
Quebecor Financial Review 2013 p 15</t>
        </r>
      </text>
    </comment>
    <comment ref="J13" authorId="0">
      <text>
        <r>
          <rPr>
            <sz val="10"/>
            <color rgb="FF000000"/>
            <rFont val="Verdana"/>
          </rPr>
          <t>Quebecor Financial Review 2014, p 14. ARPU = $47.06.</t>
        </r>
      </text>
    </comment>
    <comment ref="B14" authorId="0">
      <text>
        <r>
          <rPr>
            <sz val="10"/>
            <color rgb="FF000000"/>
            <rFont val="Verdana"/>
          </rPr>
          <t xml:space="preserve">Estimate based on price of the cable companies' shared @Home service used to provide high speed internet access by cable in the late 1990s, i.e. * subscribers.
</t>
        </r>
      </text>
    </comment>
    <comment ref="C14" authorId="0">
      <text>
        <r>
          <rPr>
            <sz val="10"/>
            <color rgb="FF000000"/>
            <rFont val="Verdana"/>
          </rPr>
          <t xml:space="preserve">Estimate for Videotron before Quebecor acquisition at end of 2000 is based on # of subs (140,300) * ARPU of $35.46 for Rogers. Quebecor AR 2004, p. 10.
</t>
        </r>
      </text>
    </comment>
    <comment ref="B15" authorId="0">
      <text>
        <r>
          <rPr>
            <sz val="10"/>
            <color rgb="FF000000"/>
            <rFont val="Verdana"/>
          </rPr>
          <t xml:space="preserve">Estimate based on total number of subscribers * estimated ARPU for 1997 of $11.42.
</t>
        </r>
      </text>
    </comment>
    <comment ref="C15" authorId="0">
      <text>
        <r>
          <rPr>
            <sz val="10"/>
            <color rgb="FF000000"/>
            <rFont val="Verdana"/>
          </rPr>
          <t xml:space="preserve">Estimate based on * of subs (569,192.6)(Telus's 2000 Annual Report, p. 41) * Aliant's blended high-speed and dial up ARPU of $24.89 (Bell Aliant, AR 2000, p. 32).
</t>
        </r>
      </text>
    </comment>
    <comment ref="D15" authorId="0">
      <text>
        <r>
          <rPr>
            <sz val="10"/>
            <color rgb="FF000000"/>
            <rFont val="Verdana"/>
          </rPr>
          <t xml:space="preserve">Estimate based on * of subs (1,031,413.7)(Telus 2004 Annual Report Financial Review, p. 12) * Aliant's blended high-speed and dial up ARPU of $30.54 (Bell Aliant, AR 2004, pp. 1-2).
</t>
        </r>
      </text>
    </comment>
    <comment ref="E15" authorId="0">
      <text>
        <r>
          <rPr>
            <sz val="10"/>
            <color rgb="FF000000"/>
            <rFont val="Verdana"/>
          </rPr>
          <t>1,096,000 high speed subscribers + 124 dial up subs (Telus 2011 Annual Report, p. 36) @ ARPU of $36.01 (Bell Aliant, AR 2009, p. 70. Dial up subs est. ARPU @ $19.58.
,</t>
        </r>
      </text>
    </comment>
    <comment ref="F15" authorId="0">
      <text>
        <r>
          <rPr>
            <sz val="10"/>
            <color rgb="FF000000"/>
            <rFont val="Verdana"/>
          </rPr>
          <t xml:space="preserve">1,167,000 high speed subscribers + 62,000 dial up subs (Telus 2011 Annual Report, p. 36) @ ARPU of $39.70 (Bell Aliant, AR 2010, p. 73). Dial up subs est. ARPU @ $21.86.
</t>
        </r>
      </text>
    </comment>
    <comment ref="G15" authorId="0">
      <text>
        <r>
          <rPr>
            <sz val="10"/>
            <color rgb="FF000000"/>
            <rFont val="Verdana"/>
          </rPr>
          <t xml:space="preserve">1,242,000 high speed subscribers + 44,000 dial up subs (Telus 2011 Annual Report, p. 36) @ ARPU of $42.38 (Bell Aliant, AR 2013, p. 54). Dial up subs est. ARPU @ $23.37.
</t>
        </r>
      </text>
    </comment>
    <comment ref="H15" authorId="0">
      <text>
        <r>
          <rPr>
            <sz val="10"/>
            <color rgb="FF000000"/>
            <rFont val="Verdana"/>
          </rPr>
          <t xml:space="preserve">1326,000 high speed subscribers + 33,000 dial up subs (Telus A/R 2012, p. 66) @ ARPU of $44.91 (Bell Aliant, AR 2013, p. 54). Dial up subs est. ARPU @ $19.58.
</t>
        </r>
      </text>
    </comment>
    <comment ref="I15" authorId="0">
      <text>
        <r>
          <rPr>
            <sz val="10"/>
            <color rgb="FF000000"/>
            <rFont val="Verdana"/>
          </rPr>
          <t xml:space="preserve">1,395,000 high speed subscribers + 25,000 dial up subs (Telus A/R 2013, p. 41) @ ARPU of $47.16 (Bell Aliant, AR 2013, p. 54). Dial up subs est. ARPU @ $19.44.
</t>
        </r>
      </text>
    </comment>
    <comment ref="J15" authorId="0">
      <text>
        <r>
          <rPr>
            <sz val="10"/>
            <color rgb="FF000000"/>
            <rFont val="Verdana"/>
          </rPr>
          <t>Telus HSIS subscribers = 1,475,000 (Telus AR 2014 p. 3) * Bell Aliant ARPU ($49.73) * 12</t>
        </r>
      </text>
    </comment>
    <comment ref="B17" authorId="0">
      <text>
        <r>
          <rPr>
            <sz val="10"/>
            <color rgb="FF000000"/>
            <rFont val="Verdana"/>
          </rPr>
          <t xml:space="preserve">High speed internet subs of 6,900 (Cogeco, A/R 1997, pp. 41.42) * ARPU of $11.92.
</t>
        </r>
      </text>
    </comment>
    <comment ref="C17" authorId="0">
      <text>
        <r>
          <rPr>
            <sz val="10"/>
            <color rgb="FF000000"/>
            <rFont val="Verdana"/>
          </rPr>
          <t xml:space="preserve">High speed internet subs of 70,716 (Cogeco, A/R 2000, p. 40) * avg of Rogers and Quebecor's ARPU ($35.46).
</t>
        </r>
      </text>
    </comment>
    <comment ref="D17" authorId="0">
      <text>
        <r>
          <rPr>
            <sz val="10"/>
            <color rgb="FF000000"/>
            <rFont val="Verdana"/>
          </rPr>
          <t xml:space="preserve">High speed internet subs of 239,608 (Cogeco, A/R 2008, p. 73) * avg of Rogers and Quebecor's ARPU ($35.30).
</t>
        </r>
      </text>
    </comment>
    <comment ref="E17" authorId="0">
      <text>
        <r>
          <rPr>
            <sz val="10"/>
            <color rgb="FF000000"/>
            <rFont val="Verdana"/>
          </rPr>
          <t xml:space="preserve">High speed internet subs of 473467 (Cogeco, A/R 2008, p. 73) * avg of Rogers and Quebecor's ARPU ($36.01).
</t>
        </r>
      </text>
    </comment>
    <comment ref="F17" authorId="0">
      <text>
        <r>
          <rPr>
            <sz val="10"/>
            <color rgb="FF000000"/>
            <rFont val="Verdana"/>
          </rPr>
          <t xml:space="preserve">High speed internet subs of 559,057 (Cogeco, A/R 2011, p. 82) * avg of Rogers and Quebecor's ARPU ($39.70).
</t>
        </r>
      </text>
    </comment>
    <comment ref="G17" authorId="0">
      <text>
        <r>
          <rPr>
            <sz val="10"/>
            <color rgb="FF000000"/>
            <rFont val="Verdana"/>
          </rPr>
          <t xml:space="preserve">High speed internet subs of 605,154 (Cogeco, A/R 2011, p. 82) * avg of Rogers and Quebecor's ARPU ($42.38).
</t>
        </r>
      </text>
    </comment>
    <comment ref="H17" authorId="0">
      <text>
        <r>
          <rPr>
            <sz val="10"/>
            <color rgb="FF000000"/>
            <rFont val="Verdana"/>
          </rPr>
          <t xml:space="preserve">High speed internet subs of 640,455 (Cogeco, A/R 2013, p. 89) * avg of Rogers and Quebecor's ARPU ($44.91).
</t>
        </r>
      </text>
    </comment>
    <comment ref="I17" authorId="0">
      <text>
        <r>
          <rPr>
            <sz val="10"/>
            <color rgb="FF000000"/>
            <rFont val="Verdana"/>
          </rPr>
          <t xml:space="preserve">High speed internet subs of 661,337 (Cogeco, A/R 2013, p. 89) * avg of Rogers and Quebecor's ARPU ($47.16). Detailed press release has 661,337 for the year. 
</t>
        </r>
      </text>
    </comment>
    <comment ref="J17" authorId="0">
      <text>
        <r>
          <rPr>
            <sz val="10"/>
            <color rgb="FF000000"/>
            <rFont val="Verdana"/>
          </rPr>
          <t xml:space="preserve">High speed internet subs of 679,584 (Cogeco, A/R 2014, p. 89) * avg of Bell, Rogers and Quebecor's ARPU ($48.49). </t>
        </r>
      </text>
    </comment>
    <comment ref="H18" authorId="0">
      <text>
        <r>
          <rPr>
            <sz val="10"/>
            <color rgb="FF000000"/>
            <rFont val="Verdana"/>
          </rPr>
          <t xml:space="preserve">Dwayne Winseck: Estimate based on division of non-programming services between Internet access and telephone services based on average ratio of the split between such services for Rogers, Cogeco and QMI, i.e. 36.3% to telephone services from 2010-2012. I used Cogeco's ratio for split between these services for 2008, i.e. 28.2%.
</t>
        </r>
      </text>
    </comment>
    <comment ref="I18" authorId="0">
      <text>
        <r>
          <rPr>
            <sz val="10"/>
            <color rgb="FF000000"/>
            <rFont val="Verdana"/>
          </rPr>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r>
      </text>
    </comment>
    <comment ref="J18" authorId="0">
      <text>
        <r>
          <rPr>
            <sz val="10"/>
            <color rgb="FF000000"/>
            <rFont val="Verdana"/>
          </rPr>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r>
      </text>
    </comment>
    <comment ref="B19" authorId="0">
      <text>
        <r>
          <rPr>
            <sz val="10"/>
            <color rgb="FF000000"/>
            <rFont val="Verdana"/>
          </rPr>
          <t xml:space="preserve">Estimate based on total number of subscribers * estimated ARPU for 1997 of $11.42.
</t>
        </r>
      </text>
    </comment>
    <comment ref="C19" authorId="0">
      <text>
        <r>
          <rPr>
            <sz val="10"/>
            <color rgb="FF000000"/>
            <rFont val="Verdana"/>
          </rPr>
          <t>Revenue estimate based on subscriber numbers (88,427) (Sasktel, A/R 2004, p. 31) * MTS ARPU $23.36 (MTS Annual Report 2004, p. 28).</t>
        </r>
      </text>
    </comment>
    <comment ref="D19" authorId="0">
      <text>
        <r>
          <rPr>
            <sz val="10"/>
            <color rgb="FF000000"/>
            <rFont val="Verdana"/>
          </rPr>
          <t>Revenue estimate based on subscriber numbers (162,646) (Sasktel, A/R 2004, p. 38) * MTS ARPU $26.19 (MTS Annual Report 2008, p. 21).</t>
        </r>
      </text>
    </comment>
    <comment ref="E19" authorId="0">
      <text>
        <r>
          <rPr>
            <sz val="10"/>
            <color rgb="FF000000"/>
            <rFont val="Verdana"/>
          </rPr>
          <t xml:space="preserve">Revenue estimate based on subscriber numbers (216,062) (Sasktel, A/R 2008, p. 46) * MTS ARPU $34.64 (MTS Annual Report, 2011. p. 3).
</t>
        </r>
      </text>
    </comment>
    <comment ref="F19" authorId="0">
      <text>
        <r>
          <rPr>
            <sz val="10"/>
            <color rgb="FF000000"/>
            <rFont val="Verdana"/>
          </rPr>
          <t xml:space="preserve">Revenue estimate based on subscriber numbers (243,054) (Sasktel, A/R 2013, p. 47) * MTS ARPU $39.58 (MTS Annual Report, 2011. p. 3).
</t>
        </r>
      </text>
    </comment>
    <comment ref="G19" authorId="0">
      <text>
        <r>
          <rPr>
            <sz val="10"/>
            <color rgb="FF000000"/>
            <rFont val="Verdana"/>
          </rPr>
          <t xml:space="preserve">Revenue estimate based on subscriber numbers (246,472) (Sasktel, A/R 2013, p. 47) * MTS ARPU $42.16 (MTS Annual Report, 2011. p. 3).
</t>
        </r>
      </text>
    </comment>
    <comment ref="H19" authorId="0">
      <text>
        <r>
          <rPr>
            <sz val="10"/>
            <color rgb="FF000000"/>
            <rFont val="Verdana"/>
          </rPr>
          <t>Revenue estimate based on subscriber numbers (250068) (Sasktel, A/R 2012, p. 31) * MTS ARPU $45.31 ( MTS Annual Information Form, Q4 2012 p. 6 and MTS News Release, "MTS Allstream reports fourth-quarter and full-year results, and announces 2013 financial outlook", p. 4).
,</t>
        </r>
      </text>
    </comment>
    <comment ref="I19" authorId="0">
      <text>
        <r>
          <rPr>
            <sz val="10"/>
            <color rgb="FF000000"/>
            <rFont val="Verdana"/>
          </rPr>
          <t xml:space="preserve">Revenue estimate based on subscriber numbers (254,873) (Sasktel, A/R 2013, p. 47) * MTS ARPU $45.76 (MTS AR 2013, p. 11).
 </t>
        </r>
      </text>
    </comment>
    <comment ref="J19" authorId="0">
      <text>
        <r>
          <rPr>
            <sz val="10"/>
            <color rgb="FF000000"/>
            <rFont val="Verdana"/>
          </rPr>
          <t>Revenue estimate based on HSIS subscriber numbers (258,547, Sasktel AR 2014 p. 57) * MTS ARPU ($45.56) *12</t>
        </r>
      </text>
    </comment>
    <comment ref="B20" authorId="0">
      <text>
        <r>
          <rPr>
            <sz val="10"/>
            <color rgb="FF000000"/>
            <rFont val="Verdana"/>
          </rPr>
          <t xml:space="preserve">Estimate based on total number of subscribers * estimated ARPU for 1997 of $11.42.
</t>
        </r>
      </text>
    </comment>
    <comment ref="E20" authorId="0">
      <text>
        <r>
          <rPr>
            <sz val="10"/>
            <color rgb="FF000000"/>
            <rFont val="Verdana"/>
          </rPr>
          <t>LR:
MTS Annual Report 2011, p.3</t>
        </r>
      </text>
    </comment>
    <comment ref="F20" authorId="0">
      <text>
        <r>
          <rPr>
            <sz val="10"/>
            <color rgb="FF000000"/>
            <rFont val="Verdana"/>
          </rPr>
          <t>LR:
MTS Annual Report, 2011, p.3</t>
        </r>
      </text>
    </comment>
    <comment ref="G20" authorId="0">
      <text>
        <r>
          <rPr>
            <sz val="10"/>
            <color rgb="FF000000"/>
            <rFont val="Verdana"/>
          </rPr>
          <t>MTS Annual Report, 2011. p.3</t>
        </r>
      </text>
    </comment>
    <comment ref="H20" authorId="0">
      <text>
        <r>
          <rPr>
            <sz val="10"/>
            <color rgb="FF000000"/>
            <rFont val="Verdana"/>
          </rPr>
          <t xml:space="preserve">Dwayne Winseck: MTS Annual Information Form, Q4 2012 p. 6 and MTS News Release, "MTS Allstream reports fourth-quarter and full-year results, and announces 2013 financial outlook", p. 4.
</t>
        </r>
      </text>
    </comment>
    <comment ref="I20" authorId="0">
      <text>
        <r>
          <rPr>
            <sz val="10"/>
            <color rgb="FF000000"/>
            <rFont val="Verdana"/>
          </rPr>
          <t xml:space="preserve">MTS AR 2013, p. 2. ARPU = 42.92 (residential) or $47.09 all (208,311 subs) (MTS, AR 2013, p. 11).
</t>
        </r>
      </text>
    </comment>
    <comment ref="J20" authorId="0">
      <text>
        <r>
          <rPr>
            <sz val="10"/>
            <color rgb="FF000000"/>
            <rFont val="Verdana"/>
          </rPr>
          <t xml:space="preserve">MTS AR 2014 p. 16 (Residential ARPU = $45.56, total HSIS (Business + Residential) revenue given in AR
</t>
        </r>
      </text>
    </comment>
    <comment ref="C21" authorId="0">
      <text>
        <r>
          <rPr>
            <sz val="10"/>
            <color rgb="FF000000"/>
            <rFont val="Verdana"/>
          </rPr>
          <t>Estimate based on 25,000k subscribers * ARPU of $40 / month. The number of subscribers is the average between the figure at the end of the year previous year and the current year, i.e. it assumes steady linear growth.</t>
        </r>
      </text>
    </comment>
    <comment ref="D21" authorId="0">
      <text>
        <r>
          <rPr>
            <sz val="10"/>
            <color rgb="FF000000"/>
            <rFont val="Verdana"/>
          </rPr>
          <t>Estimate based on 50,000k subscribers * ARPU of $40 / month. The number of subscribers is the average between the figure at the end of the year previous year and the current year, i.e. it assumes steady linear growth.</t>
        </r>
      </text>
    </comment>
    <comment ref="E21" authorId="0">
      <text>
        <r>
          <rPr>
            <sz val="10"/>
            <color rgb="FF000000"/>
            <rFont val="Verdana"/>
          </rPr>
          <t>Estimate based on 100,000k subscribers * ARPU of $50 / month. The number of subscribers is the average between the figure at the end of the year previous year and the current year, i.e. it assumes steady linear growth.</t>
        </r>
      </text>
    </comment>
    <comment ref="F21" authorId="0">
      <text>
        <r>
          <rPr>
            <sz val="10"/>
            <color rgb="FF000000"/>
            <rFont val="Verdana"/>
          </rPr>
          <t>Estimate based on 125,000k subscribers * ARPU of $50 / month. The number of subscribers is the average between the figure at the end of the year previous year and the current year, i.e. it assumes steady linear growth.</t>
        </r>
      </text>
    </comment>
    <comment ref="G21" authorId="0">
      <text>
        <r>
          <rPr>
            <sz val="10"/>
            <color rgb="FF000000"/>
            <rFont val="Verdana"/>
          </rPr>
          <t>Estimate based on ARPU of $50/mo and 150k subscribers, as per http://www.theglobeandmail.com/globe-investor/shaw-xplornet-team-up-to-bundle-rural-delivery/article4098833/. The number of subscribers is the average between the figure at the end of the year previous year and the current year, i.e. it assumes steady linear growth.</t>
        </r>
      </text>
    </comment>
    <comment ref="H21" authorId="0">
      <text>
        <r>
          <rPr>
            <sz val="10"/>
            <color rgb="FF000000"/>
            <rFont val="Verdana"/>
          </rPr>
          <t>Estimate based on 175,000 subscribers -- average of 2011 and 2013 -- and $50 ARPU / month. The number of subscribers is the average between the figure at the end of the year previous year and the current year, i.e. oit assumes steady linear growth.</t>
        </r>
      </text>
    </comment>
    <comment ref="I21" authorId="0">
      <text>
        <r>
          <rPr>
            <sz val="10"/>
            <color rgb="FF000000"/>
            <rFont val="Verdana"/>
          </rPr>
          <t>Estimate based on ARPU of $50/mo and 200k subscribers, as per http://www.xplornet.com/about-us/news-releases/2013/xplornet-announces-over-$150-million-in-financing/. The number of subscribers is the average between the figure at the end of the year previous year and the current year, i.e. it assumes steady linear growth.</t>
        </r>
      </text>
    </comment>
    <comment ref="J21" authorId="0">
      <text>
        <r>
          <rPr>
            <sz val="10"/>
            <color rgb="FF000000"/>
            <rFont val="Verdana"/>
          </rPr>
          <t>Estimate based on ARPU of $50/mo and 225k subscribers. The number of subscribers is the average between the figure at the end of the previous year (200,000) and the current year (250,000) i.e. it assumes steady linear growth.</t>
        </r>
      </text>
    </comment>
    <comment ref="G22" authorId="0">
      <text>
        <r>
          <rPr>
            <sz val="10"/>
            <color rgb="FF000000"/>
            <rFont val="Verdana"/>
          </rPr>
          <t xml:space="preserve">Based on estimates of 120k subs* $40 ARPU/mo http://www.chathamdailynews.ca/2012/10/05/gaudrault-leaves-teksavvy-for-new-ventures.
</t>
        </r>
      </text>
    </comment>
    <comment ref="H22" authorId="0">
      <text>
        <r>
          <rPr>
            <sz val="10"/>
            <color rgb="FF000000"/>
            <rFont val="Verdana"/>
          </rPr>
          <t>ARPU estimate of $40.00 based on advertised price of most popular service and 150,000 subscribers for 2012. The number of subscribers is the average between the figure at the end of the year and the current year (180k http://www.chathamdailynews.ca/2012/10/05/gaudrault-leaves-teksavvy-for-new-ventures )) i.e. it assumes steady linear growth.</t>
        </r>
      </text>
    </comment>
    <comment ref="I22" authorId="0">
      <text>
        <r>
          <rPr>
            <sz val="10"/>
            <color rgb="FF000000"/>
            <rFont val="Verdana"/>
          </rPr>
          <t>ARPU estimate of $40.00 based on advertised price of most popular service and 207,500 subscribers for 2014. The number of subscribers is the average between the figure at the end of the previous year (180,000) and for the current year (235,000 subscribers as of August 31, 2013. http://www.cbc.ca/news/canada/ottawa/some-teksavvy-internet-customers-upset-by-long-service-outages-1.1309647
), i.e. it assumes steady linear growth.</t>
        </r>
      </text>
    </comment>
    <comment ref="J22" authorId="0">
      <text>
        <r>
          <rPr>
            <sz val="10"/>
            <color rgb="FF000000"/>
            <rFont val="Verdana"/>
          </rPr>
          <t>ARPU estimate of $40.00 based on advertised price of most popular service and 242,500 subscribers for 2014. The number of subscribers is the average between the figure at the end of the previous year (235,000) and the current year (250,000) i.e. it assumes steady linear growth.</t>
        </r>
      </text>
    </comment>
    <comment ref="C23" authorId="0">
      <text>
        <r>
          <rPr>
            <sz val="10"/>
            <color rgb="FF000000"/>
            <rFont val="Verdana"/>
          </rPr>
          <t>Dwayne Winseck:
Primus Annual Report 2000, para. 18. Revenues for telecom and internet access split 83.3/16.7 based on ratio identified in later Primus financial statements.</t>
        </r>
      </text>
    </comment>
    <comment ref="D23" authorId="0">
      <text>
        <r>
          <rPr>
            <sz val="10"/>
            <color rgb="FF000000"/>
            <rFont val="Verdana"/>
          </rPr>
          <t>Dwayne Winseck:
Primus Annual Report 2004, p. 36. Revenues for telecom and internet access split 83.3/16.7 based on ratio identified in later Primus financial statements.</t>
        </r>
      </text>
    </comment>
    <comment ref="E23" authorId="0">
      <text>
        <r>
          <rPr>
            <sz val="10"/>
            <color rgb="FF000000"/>
            <rFont val="Verdana"/>
          </rPr>
          <t>Dwayne Winseck:
Primus Annual Report 2008, p. 51. Revenues for telecom and internet access split 83.3/16.7 based on ratio identified in later Primus financial statements.</t>
        </r>
      </text>
    </comment>
    <comment ref="F23" authorId="0">
      <text>
        <r>
          <rPr>
            <sz val="10"/>
            <color rgb="FF000000"/>
            <rFont val="Verdana"/>
          </rPr>
          <t>Dwayne Winseck:
Primus Annual Report 2008, p. 61. Revenues for telecom and internet access split 83.3/16.7 based on ratio identified in later Primus financial statements.</t>
        </r>
      </text>
    </comment>
    <comment ref="G23" authorId="0">
      <text>
        <r>
          <rPr>
            <sz val="10"/>
            <color rgb="FF000000"/>
            <rFont val="Verdana"/>
          </rPr>
          <t>Dwayne Winseck:
Primus Group Int'l (2012). Presentation to Jefferies 2012 Global TMT Conference, pp. 4-6 for 2010 and 2011, w/ same break down of quarterly data used to determine segmented revenues on an annual basis.</t>
        </r>
      </text>
    </comment>
    <comment ref="H23" authorId="0">
      <text>
        <r>
          <rPr>
            <sz val="10"/>
            <color rgb="FF000000"/>
            <rFont val="Verdana"/>
          </rPr>
          <t>Dwayne Winseck:
 Primus Form 10-K Annual Report, p. 41. Revenues apportioned between telecom and ISP on same basis as 2010 and 2011.</t>
        </r>
      </text>
    </comment>
    <comment ref="I23" authorId="0">
      <text>
        <r>
          <rPr>
            <sz val="10"/>
            <color rgb="FF000000"/>
            <rFont val="Verdana"/>
          </rPr>
          <t xml:space="preserve">Estimate based on comment by CRTC that Primus accounts for .7% of 2014 telecoms revenues. http://www.crtc.gc.ca/eng/archive/2014/2014-437.pdf This amount than divided between wiredline telecoms &amp; ISPs at same ratio as in previous years.
</t>
        </r>
      </text>
    </comment>
    <comment ref="J23" authorId="0">
      <text>
        <r>
          <rPr>
            <sz val="10"/>
            <color rgb="FF000000"/>
            <rFont val="Verdana"/>
          </rPr>
          <t xml:space="preserve">Estimate based on comment by CRTC that Primus accounts for .7% of telecoms revenues. http://www.crtc.gc.ca/eng/archive/2014/2014-437.pdf This amount than divided between wiredline telecoms &amp; ISPs at same ratio as in previous years.  </t>
        </r>
      </text>
    </comment>
    <comment ref="E24" authorId="0">
      <text>
        <r>
          <rPr>
            <sz val="10"/>
            <color rgb="FF000000"/>
            <rFont val="Verdana"/>
          </rPr>
          <t xml:space="preserve">Dwayne Winseck: Access Communications Annual Report, 2009, p. 31. Telecoms revenues split 66.4/33.6 between ISPs and telephone service, respectively.
</t>
        </r>
      </text>
    </comment>
    <comment ref="F24" authorId="0">
      <text>
        <r>
          <rPr>
            <sz val="10"/>
            <color rgb="FF000000"/>
            <rFont val="Verdana"/>
          </rPr>
          <t xml:space="preserve">Dwayne Winseck: Access Communications Annual Report 2010, p. 30, with 66.4% of telecoms revenues allocated to ISP and rest to telephone.
</t>
        </r>
      </text>
    </comment>
    <comment ref="G24" authorId="0">
      <text>
        <r>
          <rPr>
            <sz val="10"/>
            <color rgb="FF000000"/>
            <rFont val="Verdana"/>
          </rPr>
          <t xml:space="preserve">Dwayne Winseck: Access Communications Annual Report 2012, p. 20. Telecoms revenues split 66.4/33.6 between ISPs and telephone service, respectively.
</t>
        </r>
      </text>
    </comment>
    <comment ref="H24" authorId="0">
      <text>
        <r>
          <rPr>
            <sz val="10"/>
            <color rgb="FF000000"/>
            <rFont val="Verdana"/>
          </rPr>
          <t xml:space="preserve">Dwayne Winseck: Access Communications Annual Report 2012, p. 20. Telecoms revenues split 66.4/33.6 between ISPs and telephone service, respectively.
</t>
        </r>
      </text>
    </comment>
    <comment ref="I24" authorId="0">
      <text>
        <r>
          <rPr>
            <sz val="10"/>
            <color rgb="FF000000"/>
            <rFont val="Verdana"/>
          </rPr>
          <t xml:space="preserve">Access Communications Annual Report 2013, p. 25. Telecoms revenues split 66.4/33.6 between ISPs and telephone service, respectively.
</t>
        </r>
      </text>
    </comment>
    <comment ref="J24" authorId="0">
      <text>
        <r>
          <rPr>
            <sz val="10"/>
            <color rgb="FF000000"/>
            <rFont val="Verdana"/>
          </rPr>
          <t>Access Communications Annual Report 2014, p. 30. Telecoms revenues split 66.4/33.6 between ISPs and telephone service, respectively.</t>
        </r>
      </text>
    </comment>
    <comment ref="D25" authorId="0">
      <text>
        <r>
          <rPr>
            <sz val="10"/>
            <color rgb="FF000000"/>
            <rFont val="Verdana"/>
          </rPr>
          <t xml:space="preserve">Estimate based on quarterly revenues for 2005 as reported in Vecima Networks, First Quarter Results 2005, p. 17. Vecima's Annual Report 2006 indicates that split between cable and HSIA is 58% / 42%, respectively (p. 6). </t>
        </r>
      </text>
    </comment>
    <comment ref="E25" authorId="0">
      <text>
        <r>
          <rPr>
            <sz val="10"/>
            <color rgb="FF000000"/>
            <rFont val="Verdana"/>
          </rPr>
          <t>Vecima Networks,  Audited Annual Financial Statement 2008, p. 14. Vecima's Annual Report 2006 indicates that split between cable and HSIA is 58% / 42%, respectively (p. 6). This ratio is used through each year unless indications are made otherwise.</t>
        </r>
      </text>
    </comment>
    <comment ref="F25" authorId="0">
      <text>
        <r>
          <rPr>
            <sz val="10"/>
            <color rgb="FF000000"/>
            <rFont val="Verdana"/>
          </rPr>
          <t>Vecima Networks, Audited Annual Financial Statement 2010, p. 16. Vecima's Annual Report 2006 indicates that split between cable and HSIA is 58% / 42%, respectively (p. 6). This ratio is used through each year unless indications are made otherwise.</t>
        </r>
      </text>
    </comment>
    <comment ref="G25" authorId="0">
      <text>
        <r>
          <rPr>
            <sz val="10"/>
            <color rgb="FF000000"/>
            <rFont val="Verdana"/>
          </rPr>
          <t>Vecima Networks, AR 2012, p. 17. Vecima's Annual Report 2006 indicates that split between cable and HSIA is 58% / 42%, respectively (p. 6). This ratio is used through each year unless indications are made otherwise.</t>
        </r>
      </text>
    </comment>
    <comment ref="H25" authorId="0">
      <text>
        <r>
          <rPr>
            <sz val="10"/>
            <color rgb="FF000000"/>
            <rFont val="Verdana"/>
          </rPr>
          <t>Vecima Networks, AR 2013, p. 14. Vecima's Annual Report 2006 indicates that split between cable and HSIA is 58% / 42%, respectively (p. 6). This ratio is used through each year unless indications are made otherwise.</t>
        </r>
      </text>
    </comment>
    <comment ref="I25" authorId="0">
      <text>
        <r>
          <rPr>
            <sz val="10"/>
            <color rgb="FF000000"/>
            <rFont val="Verdana"/>
          </rPr>
          <t>Vecima Networks, AR 2013, p. 14. Vecima's Annual Report 2006 indicates that split between cable and HSIA is 58% / 42%, respectively (p. 6). This ratio is used through each year unless indications are made otherwise.</t>
        </r>
      </text>
    </comment>
    <comment ref="J25" authorId="0">
      <text>
        <r>
          <rPr>
            <sz val="10"/>
            <color rgb="FF000000"/>
            <rFont val="Verdana"/>
          </rPr>
          <t xml:space="preserve">Vecima Networks, AR 2014, p. 15. Revenues split between cable and HSIA is 50/50 based on comments in AR that indicate growing HSIA revenues vs BDU revenues. </t>
        </r>
      </text>
    </comment>
    <comment ref="B41" authorId="0">
      <text>
        <r>
          <rPr>
            <sz val="10"/>
            <color rgb="FF000000"/>
            <rFont val="Verdana"/>
          </rPr>
          <t xml:space="preserve">Internet access revenues for 1996 are actually for 1997 because they are not available before that and to help maintainconsistency for comparissons across sectors where 1996 is the common denominator.
</t>
        </r>
      </text>
    </comment>
    <comment ref="H41" authorId="0">
      <text>
        <r>
          <rPr>
            <sz val="10"/>
            <color rgb="FF000000"/>
            <rFont val="Verdana"/>
          </rPr>
          <t xml:space="preserve">Dwayne Winseck:
CRTC, 2012 CMR p. 144. </t>
        </r>
      </text>
    </comment>
    <comment ref="I41" authorId="0">
      <text>
        <r>
          <rPr>
            <sz val="10"/>
            <color rgb="FF000000"/>
            <rFont val="Verdana"/>
          </rPr>
          <t xml:space="preserve">CRTC's CMR 2014 Press Release. </t>
        </r>
      </text>
    </comment>
    <comment ref="J41" authorId="0">
      <text>
        <r>
          <rPr>
            <sz val="10"/>
            <color rgb="FF000000"/>
            <rFont val="Verdana"/>
          </rPr>
          <t>CRTC 2015 CMR, p. .</t>
        </r>
      </text>
    </comment>
  </commentList>
</comments>
</file>

<file path=xl/comments6.xml><?xml version="1.0" encoding="utf-8"?>
<comments xmlns="http://schemas.openxmlformats.org/spreadsheetml/2006/main">
  <authors>
    <author/>
  </authors>
  <commentList>
    <comment ref="B3" authorId="0">
      <text>
        <r>
          <rPr>
            <sz val="10"/>
            <color rgb="FF000000"/>
            <rFont val="Verdana"/>
          </rPr>
          <t xml:space="preserve">Shaw, AR 1984, p. 17. </t>
        </r>
      </text>
    </comment>
    <comment ref="C3" authorId="0">
      <text>
        <r>
          <rPr>
            <sz val="10"/>
            <color rgb="FF000000"/>
            <rFont val="Verdana"/>
          </rPr>
          <t xml:space="preserve">Shaw, AR 1988, p. 17. </t>
        </r>
      </text>
    </comment>
    <comment ref="E3" authorId="0">
      <text>
        <r>
          <rPr>
            <sz val="10"/>
            <color rgb="FF000000"/>
            <rFont val="Verdana"/>
          </rPr>
          <t xml:space="preserve">Shaw, AR 1998, p. 77. Minus telecom revenue. See entry under Shaw in wireline sheet.
</t>
        </r>
      </text>
    </comment>
    <comment ref="E4" authorId="0">
      <text>
        <r>
          <rPr>
            <sz val="10"/>
            <color rgb="FF000000"/>
            <rFont val="Verdana"/>
          </rPr>
          <t xml:space="preserve">Shaw, AR 1998, p. 77. Minus telecom revenue. See entry under Shaw in wireline sheet.
</t>
        </r>
      </text>
    </comment>
    <comment ref="F4" authorId="0">
      <text>
        <r>
          <rPr>
            <sz val="10"/>
            <color rgb="FF000000"/>
            <rFont val="Verdana"/>
          </rPr>
          <t xml:space="preserve">Shaw AR 2001, p. 8. Minus HSIA revenues. See Shaw entry in Internet sheet. </t>
        </r>
      </text>
    </comment>
    <comment ref="G4" authorId="0">
      <text>
        <r>
          <rPr>
            <sz val="10"/>
            <color rgb="FF000000"/>
            <rFont val="Verdana"/>
          </rPr>
          <t xml:space="preserve">Shaw AR 2007, p. 31. Minus HSIA revenues. See Shaw entry in Internet sheet. </t>
        </r>
      </text>
    </comment>
    <comment ref="H4" authorId="0">
      <text>
        <r>
          <rPr>
            <sz val="10"/>
            <color rgb="FF000000"/>
            <rFont val="Verdana"/>
          </rPr>
          <t>CRTC Shaw Aggregate Annual Return, 2008</t>
        </r>
      </text>
    </comment>
    <comment ref="I4" authorId="0">
      <text>
        <r>
          <rPr>
            <sz val="10"/>
            <color rgb="FF000000"/>
            <rFont val="Verdana"/>
          </rPr>
          <t>CRTC Shaw Aggregate Annual Return, 2010</t>
        </r>
      </text>
    </comment>
    <comment ref="J4" authorId="0">
      <text>
        <r>
          <rPr>
            <sz val="10"/>
            <color rgb="FF000000"/>
            <rFont val="Verdana"/>
          </rPr>
          <t>CRTC Shaw Aggregate Annual Return, 2011</t>
        </r>
      </text>
    </comment>
    <comment ref="K4" authorId="0">
      <text>
        <r>
          <rPr>
            <sz val="10"/>
            <color rgb="FF000000"/>
            <rFont val="Verdana"/>
          </rPr>
          <t>CRTC Shaw Aggregate Annual Return, 2012</t>
        </r>
      </text>
    </comment>
    <comment ref="L4" authorId="0">
      <text>
        <r>
          <rPr>
            <sz val="10"/>
            <color rgb="FF000000"/>
            <rFont val="Verdana"/>
          </rPr>
          <t>CRTC Shaw Aggregate Annual Return, 2013</t>
        </r>
      </text>
    </comment>
    <comment ref="M4" authorId="0">
      <text>
        <r>
          <rPr>
            <sz val="10"/>
            <color rgb="FF000000"/>
            <rFont val="Verdana"/>
          </rPr>
          <t>CRTC Aggregate Annual Returns 2014</t>
        </r>
      </text>
    </comment>
    <comment ref="F5" authorId="0">
      <text>
        <r>
          <rPr>
            <sz val="10"/>
            <color rgb="FF000000"/>
            <rFont val="Verdana"/>
          </rPr>
          <t xml:space="preserve">Shaw AR 2001, pp. 12-14. Includes DTH + satellite services. </t>
        </r>
      </text>
    </comment>
    <comment ref="G5" authorId="0">
      <text>
        <r>
          <rPr>
            <sz val="10"/>
            <color rgb="FF000000"/>
            <rFont val="Verdana"/>
          </rPr>
          <t>Shaw AR 2007, p. 36.</t>
        </r>
      </text>
    </comment>
    <comment ref="H5" authorId="0">
      <text>
        <r>
          <rPr>
            <sz val="10"/>
            <color rgb="FF000000"/>
            <rFont val="Verdana"/>
          </rPr>
          <t>CRTC Shaw Aggregate Annual Return, 2008</t>
        </r>
      </text>
    </comment>
    <comment ref="I5" authorId="0">
      <text>
        <r>
          <rPr>
            <sz val="10"/>
            <color rgb="FF000000"/>
            <rFont val="Verdana"/>
          </rPr>
          <t>CRTC Shaw Aggregate Annual Return, 2010</t>
        </r>
      </text>
    </comment>
    <comment ref="J5" authorId="0">
      <text>
        <r>
          <rPr>
            <sz val="10"/>
            <color rgb="FF000000"/>
            <rFont val="Verdana"/>
          </rPr>
          <t>CRTC Shaw Aggregate Annual Return, 2011</t>
        </r>
      </text>
    </comment>
    <comment ref="K5" authorId="0">
      <text>
        <r>
          <rPr>
            <sz val="10"/>
            <color rgb="FF000000"/>
            <rFont val="Verdana"/>
          </rPr>
          <t>CRTC Shaw Aggregate Annual Return, 2012</t>
        </r>
      </text>
    </comment>
    <comment ref="L5" authorId="0">
      <text>
        <r>
          <rPr>
            <sz val="10"/>
            <color rgb="FF000000"/>
            <rFont val="Verdana"/>
          </rPr>
          <t>CRTC Shaw Aggregate Annual Return, 2013</t>
        </r>
      </text>
    </comment>
    <comment ref="M5" authorId="0">
      <text>
        <r>
          <rPr>
            <sz val="10"/>
            <color rgb="FF000000"/>
            <rFont val="Verdana"/>
          </rPr>
          <t>CRTC Aggregate Annual Returns 2014</t>
        </r>
      </text>
    </comment>
    <comment ref="C10" authorId="0">
      <text>
        <r>
          <rPr>
            <sz val="10"/>
            <color rgb="FF000000"/>
            <rFont val="Verdana"/>
          </rPr>
          <t>Okanagan Skeena Group, AR 1989, p. 6. Estimate based on revenue split between cable and broadcasting (52.8%/47.2%).</t>
        </r>
      </text>
    </comment>
    <comment ref="D10" authorId="0">
      <text>
        <r>
          <rPr>
            <sz val="10"/>
            <color rgb="FF000000"/>
            <rFont val="Verdana"/>
          </rPr>
          <t xml:space="preserve">Okanagan Skeena Group AR 1993, p. 3. </t>
        </r>
      </text>
    </comment>
    <comment ref="E10" authorId="0">
      <text>
        <r>
          <rPr>
            <sz val="10"/>
            <color rgb="FF000000"/>
            <rFont val="Verdana"/>
          </rPr>
          <t xml:space="preserve">Okanagan Skeena Group AR 1993, p. 3. </t>
        </r>
      </text>
    </comment>
    <comment ref="A19" authorId="0">
      <text>
        <r>
          <rPr>
            <sz val="10"/>
            <color rgb="FF000000"/>
            <rFont val="Verdana"/>
          </rPr>
          <t xml:space="preserve">Brian Wilkinson: Bell's revenues are based on company's Investor Conference 2012 Q4 (Feb. 7, 2013) (http://bce.ca/assets/investors/Q4-2012/2013BCEInvestorConference_FinalConsolidated.pdf, p. 40) for number of subscribers and $60/mo for 2012. I use the CRTC's annual ARPU estimates for BDUs of $59.41/month reported in the 2011 Communications Monitoring Report (p. 96)
</t>
        </r>
      </text>
    </comment>
    <comment ref="F19" authorId="0">
      <text>
        <r>
          <rPr>
            <sz val="10"/>
            <color rgb="FF000000"/>
            <rFont val="Verdana"/>
          </rPr>
          <t>LR:
BCE Annual Report, 2000, p.20</t>
        </r>
      </text>
    </comment>
    <comment ref="F20" authorId="0">
      <text>
        <r>
          <rPr>
            <sz val="10"/>
            <color rgb="FF000000"/>
            <rFont val="Verdana"/>
          </rPr>
          <t>LR:
BCE Annual Report, 2000, p.20</t>
        </r>
      </text>
    </comment>
    <comment ref="H20" authorId="0">
      <text>
        <r>
          <rPr>
            <sz val="10"/>
            <color rgb="FF000000"/>
            <rFont val="Verdana"/>
          </rPr>
          <t>CRTC Bell Aggregate Annual Return, 2008</t>
        </r>
      </text>
    </comment>
    <comment ref="I20" authorId="0">
      <text>
        <r>
          <rPr>
            <sz val="10"/>
            <color rgb="FF000000"/>
            <rFont val="Verdana"/>
          </rPr>
          <t>CRTC Bell Aggregate Annual Return, 2010.</t>
        </r>
      </text>
    </comment>
    <comment ref="J20" authorId="0">
      <text>
        <r>
          <rPr>
            <sz val="10"/>
            <color rgb="FF000000"/>
            <rFont val="Verdana"/>
          </rPr>
          <t xml:space="preserve">CRTC Bell Aggregate Annual Return, 2011.
</t>
        </r>
      </text>
    </comment>
    <comment ref="K20" authorId="0">
      <text>
        <r>
          <rPr>
            <sz val="10"/>
            <color rgb="FF000000"/>
            <rFont val="Verdana"/>
          </rPr>
          <t>CRTC Bell Aggregate Annual Return, 2012.</t>
        </r>
      </text>
    </comment>
    <comment ref="L20" authorId="0">
      <text>
        <r>
          <rPr>
            <sz val="10"/>
            <color rgb="FF000000"/>
            <rFont val="Verdana"/>
          </rPr>
          <t>CRTC Bell Aggregate Annual Return, 2013.</t>
        </r>
      </text>
    </comment>
    <comment ref="M20" authorId="0">
      <text>
        <r>
          <rPr>
            <sz val="10"/>
            <color rgb="FF000000"/>
            <rFont val="Verdana"/>
          </rPr>
          <t>CRTC Bell Aggregate Annual Return, 2014.</t>
        </r>
      </text>
    </comment>
    <comment ref="I21" authorId="0">
      <text>
        <r>
          <rPr>
            <sz val="10"/>
            <color rgb="FF000000"/>
            <rFont val="Verdana"/>
          </rPr>
          <t>CRTC Bell Aggregate Annual Return, 2010.</t>
        </r>
      </text>
    </comment>
    <comment ref="J21" authorId="0">
      <text>
        <r>
          <rPr>
            <sz val="10"/>
            <color rgb="FF000000"/>
            <rFont val="Verdana"/>
          </rPr>
          <t>CRTC Bell Aggregate Annual Return, 2011.</t>
        </r>
      </text>
    </comment>
    <comment ref="K21" authorId="0">
      <text>
        <r>
          <rPr>
            <sz val="10"/>
            <color rgb="FF000000"/>
            <rFont val="Verdana"/>
          </rPr>
          <t>CRTC Bell Aggregate Annual Return, 2012.</t>
        </r>
      </text>
    </comment>
    <comment ref="L21" authorId="0">
      <text>
        <r>
          <rPr>
            <sz val="10"/>
            <color rgb="FF000000"/>
            <rFont val="Verdana"/>
          </rPr>
          <t>CRTC Bell Aggregate Annual Return, 2013
.</t>
        </r>
      </text>
    </comment>
    <comment ref="M21" authorId="0">
      <text>
        <r>
          <rPr>
            <sz val="10"/>
            <color rgb="FF000000"/>
            <rFont val="Verdana"/>
          </rPr>
          <t>CRTC Bell Aggregate Annual Return, 2014 + revenue estimate of $122.7 million for Bell Aliant based on Bell's ARPU of $56.41 * 218,537 IPTV subscribers (Bell, AR 2014, p. 73).</t>
        </r>
      </text>
    </comment>
    <comment ref="B22" authorId="0">
      <text>
        <r>
          <rPr>
            <sz val="10"/>
            <color rgb="FF000000"/>
            <rFont val="Verdana"/>
          </rPr>
          <t>Rogers AR 1984, np.</t>
        </r>
      </text>
    </comment>
    <comment ref="E22" authorId="0">
      <text>
        <r>
          <rPr>
            <sz val="10"/>
            <color rgb="FF000000"/>
            <rFont val="Verdana"/>
          </rPr>
          <t>Rogers, AR 1996, p. 36.</t>
        </r>
      </text>
    </comment>
    <comment ref="F22" authorId="0">
      <text>
        <r>
          <rPr>
            <sz val="10"/>
            <color rgb="FF000000"/>
            <rFont val="Verdana"/>
          </rPr>
          <t>Rogers, AR 2001, p. 23.</t>
        </r>
      </text>
    </comment>
    <comment ref="G22" authorId="0">
      <text>
        <r>
          <rPr>
            <sz val="10"/>
            <color rgb="FF000000"/>
            <rFont val="Verdana"/>
          </rPr>
          <t xml:space="preserve">Rogers Annual Report, 2004, p. 34.
</t>
        </r>
      </text>
    </comment>
    <comment ref="H22" authorId="0">
      <text>
        <r>
          <rPr>
            <sz val="10"/>
            <color rgb="FF000000"/>
            <rFont val="Verdana"/>
          </rPr>
          <t>CRTC Rogers Aggregate Annual Return, 2008.</t>
        </r>
      </text>
    </comment>
    <comment ref="I22" authorId="0">
      <text>
        <r>
          <rPr>
            <sz val="10"/>
            <color rgb="FF000000"/>
            <rFont val="Verdana"/>
          </rPr>
          <t>CRTC Rogers Aggregate Annual Return, 2010.</t>
        </r>
      </text>
    </comment>
    <comment ref="J22" authorId="0">
      <text>
        <r>
          <rPr>
            <sz val="10"/>
            <color rgb="FF000000"/>
            <rFont val="Verdana"/>
          </rPr>
          <t>CRTC Rogers Aggregate Annual Return, 2011.</t>
        </r>
      </text>
    </comment>
    <comment ref="K22" authorId="0">
      <text>
        <r>
          <rPr>
            <sz val="10"/>
            <color rgb="FF000000"/>
            <rFont val="Verdana"/>
          </rPr>
          <t>CRTC Rogers Aggregate Annual Return, 2012.</t>
        </r>
      </text>
    </comment>
    <comment ref="L22" authorId="0">
      <text>
        <r>
          <rPr>
            <sz val="10"/>
            <color rgb="FF000000"/>
            <rFont val="Verdana"/>
          </rPr>
          <t>CRTC Rogers Aggregate Annual Return, 2013.</t>
        </r>
      </text>
    </comment>
    <comment ref="M22" authorId="0">
      <text>
        <r>
          <rPr>
            <sz val="10"/>
            <color rgb="FF000000"/>
            <rFont val="Verdana"/>
          </rPr>
          <t>Rogers 2014 A/R, p. 46. ARPU = $71.39.</t>
        </r>
      </text>
    </comment>
    <comment ref="B26" authorId="0">
      <text>
        <r>
          <rPr>
            <sz val="10"/>
            <color rgb="FF000000"/>
            <rFont val="Verdana"/>
          </rPr>
          <t>Dwayne Winseck:
Selkirk AR 1985, p. 25.</t>
        </r>
      </text>
    </comment>
    <comment ref="H27" authorId="0">
      <text>
        <r>
          <rPr>
            <sz val="10"/>
            <color rgb="FF000000"/>
            <rFont val="Verdana"/>
          </rPr>
          <t>LR:
CRTC Quebecor Aggregate Annual Return, 2008</t>
        </r>
      </text>
    </comment>
    <comment ref="I27" authorId="0">
      <text>
        <r>
          <rPr>
            <sz val="10"/>
            <color rgb="FF000000"/>
            <rFont val="Verdana"/>
          </rPr>
          <t>LR:
CRTC Quebec Aggregate Annual Return, 2010</t>
        </r>
      </text>
    </comment>
    <comment ref="J27" authorId="0">
      <text>
        <r>
          <rPr>
            <sz val="10"/>
            <color rgb="FF000000"/>
            <rFont val="Verdana"/>
          </rPr>
          <t>LR:
CRTC Quebecor Aggregate Annual Return, 2011</t>
        </r>
      </text>
    </comment>
    <comment ref="K27" authorId="0">
      <text>
        <r>
          <rPr>
            <sz val="10"/>
            <color rgb="FF000000"/>
            <rFont val="Verdana"/>
          </rPr>
          <t>LR:
CRTC Quebecor Aggregate Annual Return, 2012</t>
        </r>
      </text>
    </comment>
    <comment ref="L27" authorId="0">
      <text>
        <r>
          <rPr>
            <sz val="10"/>
            <color rgb="FF000000"/>
            <rFont val="Verdana"/>
          </rPr>
          <t xml:space="preserve">Quebecor 2013 Financial Review, p 13.
</t>
        </r>
      </text>
    </comment>
    <comment ref="M27" authorId="0">
      <text>
        <r>
          <rPr>
            <sz val="10"/>
            <color rgb="FF000000"/>
            <rFont val="Verdana"/>
          </rPr>
          <t>Quebecor 2014 Financial Review, p 14. ARPU = $50.50</t>
        </r>
      </text>
    </comment>
    <comment ref="C28" authorId="0">
      <text>
        <r>
          <rPr>
            <sz val="10"/>
            <color rgb="FF000000"/>
            <rFont val="Verdana"/>
          </rPr>
          <t xml:space="preserve">Brian Wilkinson: QMI AnnRpt, p. 26.
</t>
        </r>
      </text>
    </comment>
    <comment ref="B29" authorId="0">
      <text>
        <r>
          <rPr>
            <sz val="10"/>
            <color rgb="FF000000"/>
            <rFont val="Verdana"/>
          </rPr>
          <t xml:space="preserve">CFCF, AR 1985, np.
</t>
        </r>
      </text>
    </comment>
    <comment ref="C29" authorId="0">
      <text>
        <r>
          <rPr>
            <sz val="10"/>
            <color rgb="FF000000"/>
            <rFont val="Verdana"/>
          </rPr>
          <t>CFCF, AR 1993, p. 12.</t>
        </r>
      </text>
    </comment>
    <comment ref="D29" authorId="0">
      <text>
        <r>
          <rPr>
            <sz val="10"/>
            <color rgb="FF000000"/>
            <rFont val="Verdana"/>
          </rPr>
          <t>CFCF, AR 1993, p. 12.</t>
        </r>
      </text>
    </comment>
    <comment ref="E33" authorId="0">
      <text>
        <r>
          <rPr>
            <sz val="10"/>
            <color rgb="FF000000"/>
            <rFont val="Verdana"/>
          </rPr>
          <t>Cogeco, AR 1997, pp. 24-25.</t>
        </r>
      </text>
    </comment>
    <comment ref="F33" authorId="0">
      <text>
        <r>
          <rPr>
            <sz val="10"/>
            <color rgb="FF000000"/>
            <rFont val="Verdana"/>
          </rPr>
          <t xml:space="preserve">Cogeco, AR 2000, p.38. Revenue arrived at by subtracting HSIA and telephone revenues from cable segment. </t>
        </r>
      </text>
    </comment>
    <comment ref="G33" authorId="0">
      <text>
        <r>
          <rPr>
            <sz val="10"/>
            <color rgb="FF000000"/>
            <rFont val="Verdana"/>
          </rPr>
          <t xml:space="preserve">Cogeco AR 2005, p. 35. Revenue arrived at by subtracting HSIA and telephone revenues from cable segment. 
</t>
        </r>
      </text>
    </comment>
    <comment ref="H33" authorId="0">
      <text>
        <r>
          <rPr>
            <sz val="10"/>
            <color rgb="FF000000"/>
            <rFont val="Verdana"/>
          </rPr>
          <t>CRTC Cogeco Aggregate Annual Return, 2008.</t>
        </r>
      </text>
    </comment>
    <comment ref="I33" authorId="0">
      <text>
        <r>
          <rPr>
            <sz val="10"/>
            <color rgb="FF000000"/>
            <rFont val="Verdana"/>
          </rPr>
          <t>CRTC Cogeco Aggregate Annual Return, 2010.</t>
        </r>
      </text>
    </comment>
    <comment ref="J33" authorId="0">
      <text>
        <r>
          <rPr>
            <sz val="10"/>
            <color rgb="FF000000"/>
            <rFont val="Verdana"/>
          </rPr>
          <t>CRTC Cogeco Aggregate Annual Return, 2011.</t>
        </r>
      </text>
    </comment>
    <comment ref="K33" authorId="0">
      <text>
        <r>
          <rPr>
            <sz val="10"/>
            <color rgb="FF000000"/>
            <rFont val="Verdana"/>
          </rPr>
          <t xml:space="preserve">CRTC Cogeco Aggregate Annual Return, 2012.
</t>
        </r>
      </text>
    </comment>
    <comment ref="L33" authorId="0">
      <text>
        <r>
          <rPr>
            <sz val="10"/>
            <color rgb="FF000000"/>
            <rFont val="Verdana"/>
          </rPr>
          <t>CRTC Cogeco Aggregate Annual Return, 2013.</t>
        </r>
      </text>
    </comment>
    <comment ref="M33" authorId="0">
      <text>
        <r>
          <rPr>
            <sz val="10"/>
            <color rgb="FF000000"/>
            <rFont val="Verdana"/>
          </rPr>
          <t>CRTC Cogeco Aggregate Annual Return, 2014. ARPU = $63.25. (791,165 subs)</t>
        </r>
      </text>
    </comment>
    <comment ref="H35" authorId="0">
      <text>
        <r>
          <rPr>
            <sz val="10"/>
            <color rgb="FF000000"/>
            <rFont val="Verdana"/>
          </rPr>
          <t>Estimate based on reported subscriber figures for Telus of 78,000 (Telus AR 2009, p. 10) and ARPU of $54.82 arrived at using average of known ARPU for MTS. The number of subscribers is the average between the figure at the end of the year previous year and the current year, i.e. oit assumes steady linear growth.</t>
        </r>
      </text>
    </comment>
    <comment ref="I35" authorId="0">
      <text>
        <r>
          <rPr>
            <sz val="10"/>
            <color rgb="FF000000"/>
            <rFont val="Verdana"/>
          </rPr>
          <t xml:space="preserve">Estimate based on reported subscriber figures for Telus of 314,000 (Telus AR 2013, p. 40) and ARPU of $47.71 arrived at using average of known ARPUs for Bell and MTS.. The number of subscribers is the average between the figure at the end of the year previous year and the current year, i.e. oit assumes steady linear growth.
</t>
        </r>
      </text>
    </comment>
    <comment ref="J35" authorId="0">
      <text>
        <r>
          <rPr>
            <sz val="10"/>
            <color rgb="FF000000"/>
            <rFont val="Verdana"/>
          </rPr>
          <t>Estimate based on reported subscriber figures for Telus of 509,000 (Telus AR 2013, p. 40) and ARPU of $54.82 arrived at using average of known ARPUs for Bell and MTS. The number of subscribers is the average between the figure at the end of the year previous year and the current year, i.e. oit assumes steady linear growth.</t>
        </r>
      </text>
    </comment>
    <comment ref="K35" authorId="0">
      <text>
        <r>
          <rPr>
            <sz val="10"/>
            <color rgb="FF000000"/>
            <rFont val="Verdana"/>
          </rPr>
          <t xml:space="preserve">Estimate based on reported subscriber figures for Telus of 678,000 (Telus AR 2013, p. 40) and ARPU of $61.31 arrived at using of known ARPUs for Bell Aliant, Bell and MTS. The number of subscribers is the average between the figure at the end of the year previous year and the current year, i.e. oit assumes steady linear growth.
</t>
        </r>
      </text>
    </comment>
    <comment ref="L35" authorId="0">
      <text>
        <r>
          <rPr>
            <sz val="10"/>
            <color rgb="FF000000"/>
            <rFont val="Verdana"/>
          </rPr>
          <t xml:space="preserve">Estimate based on reported subscriber figures for Telus of 815,000 (Telus AR 2013, p. 40) and ARPU of $57.38 arrived at by dividing IPTV revenue reported in CRTC Telus Aggregate Annual Return Report 2013, (IPTV revenue/IPTV subs)/12. The number of subscribers is the average between the figure at the end of the year previous year and the current year, i.e. it assumes steady linear growth. 
</t>
        </r>
      </text>
    </comment>
    <comment ref="M35" authorId="0">
      <text>
        <r>
          <rPr>
            <sz val="10"/>
            <color rgb="FF000000"/>
            <rFont val="Verdana"/>
          </rPr>
          <t xml:space="preserve">Estimate based on reported subscriber figures for Telus of 916,000 (Telus AR 2014, p. 40) and ARPU of $63.47 arrived at by dividing IPTV revenue reported in CRTC Telus Aggregate Annual Return Report 2014, (IPTV revenue/IPTV subs)/12. The number of subscribers is the average between the figure at the end of the year previous year and the current year, i.e. it assumes steady linear growth (=865,500 subs). 
</t>
        </r>
      </text>
    </comment>
    <comment ref="H36" authorId="0">
      <text>
        <r>
          <rPr>
            <sz val="10"/>
            <color rgb="FF000000"/>
            <rFont val="Verdana"/>
          </rPr>
          <t>LR:
CRTC Bragg Aggregate Annual Return, 2008</t>
        </r>
      </text>
    </comment>
    <comment ref="I36" authorId="0">
      <text>
        <r>
          <rPr>
            <sz val="10"/>
            <color rgb="FF000000"/>
            <rFont val="Verdana"/>
          </rPr>
          <t>LR:
CRTC Bragg Aggregate Annual Return, 2010</t>
        </r>
      </text>
    </comment>
    <comment ref="J36" authorId="0">
      <text>
        <r>
          <rPr>
            <sz val="10"/>
            <color rgb="FF000000"/>
            <rFont val="Verdana"/>
          </rPr>
          <t>LR:
CRTC Bragg Aggregate Annual Return, 2011</t>
        </r>
      </text>
    </comment>
    <comment ref="K36" authorId="0">
      <text>
        <r>
          <rPr>
            <sz val="10"/>
            <color rgb="FF000000"/>
            <rFont val="Verdana"/>
          </rPr>
          <t>LR:
CRTC Bragg Aggregate Annual Return, 2012</t>
        </r>
      </text>
    </comment>
    <comment ref="L36" authorId="0">
      <text>
        <r>
          <rPr>
            <sz val="10"/>
            <color rgb="FF000000"/>
            <rFont val="Verdana"/>
          </rPr>
          <t>CRTC Bragg Aggregate Annual Return, 2013.</t>
        </r>
      </text>
    </comment>
    <comment ref="M36" authorId="0">
      <text>
        <r>
          <rPr>
            <sz val="10"/>
            <color rgb="FF000000"/>
            <rFont val="Verdana"/>
          </rPr>
          <t>CRTC Bragg Aggregate Annual Return, 2014.</t>
        </r>
      </text>
    </comment>
    <comment ref="G38" authorId="0">
      <text>
        <r>
          <rPr>
            <sz val="10"/>
            <color rgb="FF000000"/>
            <rFont val="Verdana"/>
          </rPr>
          <t xml:space="preserve">Estimate based on reported subscriber figures of 25,000 (SaskTel, A/R 2004, p. 13) * known ARPU of $27.62 for MTS (MTS , AR 2005, p. 25.). The number of subscribers is the average between the figure at the end of the year previous year and the current year, i.e. oit assumes steady linear growth.
</t>
        </r>
      </text>
    </comment>
    <comment ref="H38" authorId="0">
      <text>
        <r>
          <rPr>
            <sz val="10"/>
            <color rgb="FF000000"/>
            <rFont val="Verdana"/>
          </rPr>
          <t xml:space="preserve">Estimate based on reported subscriber figures of 70,463 (SaskTel, A/R 2009, p. 43) *ARPU estimate of $49.88 based on the known ARPU for MTS.  The number of subscribers is the average between the figure at the end of the year previous year and the current year, i.e. oit assumes steady linear growth.
 </t>
        </r>
      </text>
    </comment>
    <comment ref="I38" authorId="0">
      <text>
        <r>
          <rPr>
            <sz val="10"/>
            <color rgb="FF000000"/>
            <rFont val="Verdana"/>
          </rPr>
          <t xml:space="preserve">Estimate based on reported subscriber figures of85,537 (SaskTel, A/R 2013, p. 47) *ARPU estimate of $47.71 based on the average of known ARPU's MTS and Bell. The number of subscribers is the average between the figure at the end of the year previous year and the current year, i.e. oit assumes steady linear growth.
</t>
        </r>
      </text>
    </comment>
    <comment ref="J38" authorId="0">
      <text>
        <r>
          <rPr>
            <sz val="10"/>
            <color rgb="FF000000"/>
            <rFont val="Verdana"/>
          </rPr>
          <t xml:space="preserve">Estimate based on reported subscriber figures of 93,960 (SaskTel, A/R 2013, p. 47) *ARPU estimate of $54.82 based on the average of known ARPU's MTS and Bell.  The number of subscribers is the average between the figure at the end of the year previous year and the current year, i.e. oit assumes steady linear growth..  
</t>
        </r>
      </text>
    </comment>
    <comment ref="K38" authorId="0">
      <text>
        <r>
          <rPr>
            <sz val="10"/>
            <color rgb="FF000000"/>
            <rFont val="Verdana"/>
          </rPr>
          <t xml:space="preserve">Estimate based on reported subscriber figures of 97,262 (SaskTel, A/R 2013, p. 47) *ARPU estimate of $61.31 based on the average of known ARPU's MTS, Bell and Bell Aliant.  The number of subscribers is the average between the figure at the end of the year previous year and the current year, i.e. oit assumes steady linear growth. 
</t>
        </r>
      </text>
    </comment>
    <comment ref="L38" authorId="0">
      <text>
        <r>
          <rPr>
            <sz val="10"/>
            <color rgb="FF000000"/>
            <rFont val="Verdana"/>
          </rPr>
          <t xml:space="preserve">Estimate based on reported subscriber figures of 101.147 (SaskTel, A/R 2013, p. 47) *ARPU estimate of $58.89 based on the average of known ARPU's for 2013 from MTS, Telus and Bell Aliant. The number of subscribers is the average between the figure at the end of the year previous year and the current year, i.e. oit assumes steady linear growth.
</t>
        </r>
      </text>
    </comment>
    <comment ref="M38" authorId="0">
      <text>
        <r>
          <rPr>
            <sz val="10"/>
            <color rgb="FF000000"/>
            <rFont val="Verdana"/>
          </rPr>
          <t>Estimate based on reported subscriber figures of 103,716 (SaskTel, A/R 2013, p. 57) *ARPU estimate of $65.04 based on MTS ARPU. The number of subscribers is the average between the figure at the end of the year previous year and the current year, i.e. oit assumes steady linear growth.</t>
        </r>
      </text>
    </comment>
    <comment ref="G39" authorId="0">
      <text>
        <r>
          <rPr>
            <sz val="10"/>
            <color rgb="FF000000"/>
            <rFont val="Verdana"/>
          </rPr>
          <t xml:space="preserve">Paid digital revenues, MTS AR 2005, p. 25.
</t>
        </r>
      </text>
    </comment>
    <comment ref="H39" authorId="0">
      <text>
        <r>
          <rPr>
            <sz val="10"/>
            <color rgb="FF000000"/>
            <rFont val="Verdana"/>
          </rPr>
          <t xml:space="preserve">Estimate arrived at based on ARPU of $49.88 * 86,520 sub (MTS AR 2010, p. 17). The number of subscribers is the average between the figure at the end of the year previous year and the current year, i.e. oit assumes steady linear growth.   
</t>
        </r>
      </text>
    </comment>
    <comment ref="I39" authorId="0">
      <text>
        <r>
          <rPr>
            <sz val="10"/>
            <color rgb="FF000000"/>
            <rFont val="Verdana"/>
          </rPr>
          <t xml:space="preserve">Estimate based on ARPU of $53.17(MTS AR 2010, p. 17) * subscribers (MTS AR 2013, p 21). The number of subscribers is the average between the figure at the end of the year previous year and the current year, i.e. oit assumes steady linear growth.
</t>
        </r>
      </text>
    </comment>
    <comment ref="J39" authorId="0">
      <text>
        <r>
          <rPr>
            <sz val="10"/>
            <color rgb="FF000000"/>
            <rFont val="Verdana"/>
          </rPr>
          <t xml:space="preserve">MTS AR 2012, p. 3.
</t>
        </r>
      </text>
    </comment>
    <comment ref="K39" authorId="0">
      <text>
        <r>
          <rPr>
            <sz val="10"/>
            <color rgb="FF000000"/>
            <rFont val="Verdana"/>
          </rPr>
          <t xml:space="preserve">MTS AR 2012, p. 3.
</t>
        </r>
      </text>
    </comment>
    <comment ref="L39" authorId="0">
      <text>
        <r>
          <rPr>
            <sz val="10"/>
            <color rgb="FF000000"/>
            <rFont val="Verdana"/>
          </rPr>
          <t xml:space="preserve">BK:
MTS AR 2013 p. 2. 
</t>
        </r>
      </text>
    </comment>
    <comment ref="M39" authorId="0">
      <text>
        <r>
          <rPr>
            <sz val="10"/>
            <color rgb="FF000000"/>
            <rFont val="Verdana"/>
          </rPr>
          <t>MTS AR 2014 p. 16 (ARPU = $65.04)</t>
        </r>
      </text>
    </comment>
    <comment ref="H40" authorId="0">
      <text>
        <r>
          <rPr>
            <sz val="10"/>
            <color rgb="FF000000"/>
            <rFont val="Verdana"/>
          </rPr>
          <t>Dwayne Winseck:
Access Communications Annual Report, 2009, p. 31.</t>
        </r>
      </text>
    </comment>
    <comment ref="I40" authorId="0">
      <text>
        <r>
          <rPr>
            <sz val="10"/>
            <color rgb="FF000000"/>
            <rFont val="Verdana"/>
          </rPr>
          <t xml:space="preserve">Dwayne Winseck: Access Communications Annual Report 2010, p. 30. 
</t>
        </r>
      </text>
    </comment>
    <comment ref="J40" authorId="0">
      <text>
        <r>
          <rPr>
            <sz val="10"/>
            <color rgb="FF000000"/>
            <rFont val="Verdana"/>
          </rPr>
          <t xml:space="preserve">Dwayne Winseck: Access Communications Annual Report, p. 20.
</t>
        </r>
      </text>
    </comment>
    <comment ref="K40" authorId="0">
      <text>
        <r>
          <rPr>
            <sz val="10"/>
            <color rgb="FF000000"/>
            <rFont val="Verdana"/>
          </rPr>
          <t xml:space="preserve">Dwayne Winseck: Access Communications Annual Report 2012, p. 20.
</t>
        </r>
      </text>
    </comment>
    <comment ref="L40" authorId="0">
      <text>
        <r>
          <rPr>
            <sz val="10"/>
            <color rgb="FF000000"/>
            <rFont val="Verdana"/>
          </rPr>
          <t xml:space="preserve">Access, AR 2013, p. 25. </t>
        </r>
      </text>
    </comment>
    <comment ref="M40" authorId="0">
      <text>
        <r>
          <rPr>
            <sz val="10"/>
            <color rgb="FF000000"/>
            <rFont val="Verdana"/>
          </rPr>
          <t>Access AR 2014, p. 31</t>
        </r>
      </text>
    </comment>
    <comment ref="G41" authorId="0">
      <text>
        <r>
          <rPr>
            <sz val="10"/>
            <color rgb="FF000000"/>
            <rFont val="Verdana"/>
          </rPr>
          <t>Estimate based on quarterly revenues for 2005 as reported in Vecima Networks, First Quarter Results 2005, p. 17. Vecima's Annual Report 2006 indicates that split between cable and HSIA is 58% / 42%, respectively (p. 6). This ratio is used through each year unless indications are made otherwise.</t>
        </r>
      </text>
    </comment>
    <comment ref="H41" authorId="0">
      <text>
        <r>
          <rPr>
            <sz val="10"/>
            <color rgb="FF000000"/>
            <rFont val="Verdana"/>
          </rPr>
          <t>Vecima Networks,  Audited Annual Financial Statement 2008, p. 14. Vecima's Annual Report 2006 indicates that split between cable and HSIA is 58% / 42%, respectively (p. 6). This ratio is used through each year unless indications are made otherwise.</t>
        </r>
      </text>
    </comment>
    <comment ref="I41" authorId="0">
      <text>
        <r>
          <rPr>
            <sz val="10"/>
            <color rgb="FF000000"/>
            <rFont val="Verdana"/>
          </rPr>
          <t>Vecima Networks, Audited Annual Financial Statement 2010, p. 16. Vecima's Annual Report 2006 indicates that split between cable and HSIA is 58% / 42%, respectively (p. 6). This ratio is used through each year unless indications are made otherwise.</t>
        </r>
      </text>
    </comment>
    <comment ref="J41" authorId="0">
      <text>
        <r>
          <rPr>
            <sz val="10"/>
            <color rgb="FF000000"/>
            <rFont val="Verdana"/>
          </rPr>
          <t>Vecima Networks, AR 2012, p. 17. Vecima's Annual Report 2006 indicates that split between cable and HSIA is 58% / 42%, respectively (p. 6). This ratio is used through each year unless indications are made otherwise.</t>
        </r>
      </text>
    </comment>
    <comment ref="K41" authorId="0">
      <text>
        <r>
          <rPr>
            <sz val="10"/>
            <color rgb="FF000000"/>
            <rFont val="Verdana"/>
          </rPr>
          <t>Vecima Networks, AR 2013, p. 14. Vecima's Annual Report 2006 indicates that split between cable and HSIA is 58% / 42%, respectively (p. 6). This ratio is used through each year unless indications are made otherwise.</t>
        </r>
      </text>
    </comment>
    <comment ref="L41" authorId="0">
      <text>
        <r>
          <rPr>
            <sz val="10"/>
            <color rgb="FF000000"/>
            <rFont val="Verdana"/>
          </rPr>
          <t>Vecima Networks, AR 2013, p. 14. Vecima's Annual Report 2006 indicates that split between cable and HSIA is 58% / 42%, respectively (p. 6). This ratio is used through each year unless indications are made otherwise.</t>
        </r>
      </text>
    </comment>
    <comment ref="M41" authorId="0">
      <text>
        <r>
          <rPr>
            <sz val="10"/>
            <color rgb="FF000000"/>
            <rFont val="Verdana"/>
          </rPr>
          <t xml:space="preserve">Vecima Networks, AR 2014, p. 15. Revenues split between cable and HSIA is 50/50 based on comments in AR that indicate growing HSIA revenues vs BDU revenues. </t>
        </r>
      </text>
    </comment>
    <comment ref="G42" authorId="0">
      <text>
        <r>
          <rPr>
            <sz val="10"/>
            <color rgb="FF000000"/>
            <rFont val="Verdana"/>
          </rPr>
          <t>Caitlin Currie:
(11) delete</t>
        </r>
      </text>
    </comment>
  </commentList>
</comments>
</file>

<file path=xl/comments7.xml><?xml version="1.0" encoding="utf-8"?>
<comments xmlns="http://schemas.openxmlformats.org/spreadsheetml/2006/main">
  <authors>
    <author/>
  </authors>
  <commentList>
    <comment ref="L3" authorId="0">
      <text>
        <r>
          <rPr>
            <sz val="10"/>
            <color rgb="FF000000"/>
            <rFont val="Verdana"/>
          </rPr>
          <t>CRTC Bell Aggregate Annual Return, 2014.</t>
        </r>
      </text>
    </comment>
    <comment ref="X3" authorId="0">
      <text>
        <r>
          <rPr>
            <sz val="10"/>
            <color rgb="FF000000"/>
            <rFont val="Verdana"/>
          </rPr>
          <t>BK:
BCE AR 2013, p 61</t>
        </r>
      </text>
    </comment>
    <comment ref="Y3" authorId="0">
      <text>
        <r>
          <rPr>
            <sz val="10"/>
            <color rgb="FF000000"/>
            <rFont val="Verdana"/>
          </rPr>
          <t xml:space="preserve">BCE AR 2014, p. 62. </t>
        </r>
      </text>
    </comment>
    <comment ref="AH3" authorId="0">
      <text>
        <r>
          <rPr>
            <sz val="10"/>
            <color rgb="FF000000"/>
            <rFont val="Verdana"/>
          </rPr>
          <t>Dwayne Winseck:
based on 2012 Q4 Conference call reference 12% y2y increase of ARPU from 2011 to 2012</t>
        </r>
      </text>
    </comment>
    <comment ref="AI3" authorId="0">
      <text>
        <r>
          <rPr>
            <sz val="10"/>
            <color rgb="FF000000"/>
            <rFont val="Verdana"/>
          </rPr>
          <t xml:space="preserve">Investor Conference 2012 Q4 (Feb. 7, 2013) (http://bce.ca/assets/investors/Q4-2012/2013BCEInvestorConference_FinalConsolidated.pdf, p. 40
</t>
        </r>
      </text>
    </comment>
    <comment ref="AJ3" authorId="0">
      <text>
        <r>
          <rPr>
            <sz val="10"/>
            <color rgb="FF000000"/>
            <rFont val="Verdana"/>
          </rPr>
          <t>BK:
CRTC Bell Aggregate Annual Return Report 2013, (IPTV revenue/IPTV subs )/12</t>
        </r>
      </text>
    </comment>
    <comment ref="AK3" authorId="0">
      <text>
        <r>
          <rPr>
            <sz val="10"/>
            <color rgb="FF000000"/>
            <rFont val="Verdana"/>
          </rPr>
          <t>CRTC Bell Aggregate Annual Return Report 2014, (IPTV revenue/IPTV subs )/12</t>
        </r>
      </text>
    </comment>
    <comment ref="L4" authorId="0">
      <text>
        <r>
          <rPr>
            <sz val="10"/>
            <color rgb="FF000000"/>
            <rFont val="Verdana"/>
          </rPr>
          <t xml:space="preserve">Estimate based on Bell's ARPU of $56.41 A * 218,537 IPTV subscribers (Bell, AR 2014, p. 73 </t>
        </r>
      </text>
    </comment>
    <comment ref="V4" authorId="0">
      <text>
        <r>
          <rPr>
            <sz val="10"/>
            <color rgb="FF000000"/>
            <rFont val="Verdana"/>
          </rPr>
          <t xml:space="preserve">BK:
Aliant AR 2013, p 55
</t>
        </r>
      </text>
    </comment>
    <comment ref="W4" authorId="0">
      <text>
        <r>
          <rPr>
            <sz val="10"/>
            <color rgb="FF000000"/>
            <rFont val="Verdana"/>
          </rPr>
          <t>BK:
BCE AR 2013 p 73</t>
        </r>
      </text>
    </comment>
    <comment ref="X4" authorId="0">
      <text>
        <r>
          <rPr>
            <sz val="10"/>
            <color rgb="FF000000"/>
            <rFont val="Verdana"/>
          </rPr>
          <t>BK:
BCE AR 2013 p 73</t>
        </r>
      </text>
    </comment>
    <comment ref="Y4" authorId="0">
      <text>
        <r>
          <rPr>
            <sz val="10"/>
            <color rgb="FF000000"/>
            <rFont val="Verdana"/>
          </rPr>
          <t xml:space="preserve">BCE AR 2014, p. 73. </t>
        </r>
      </text>
    </comment>
    <comment ref="AJ4" authorId="0">
      <text>
        <r>
          <rPr>
            <sz val="10"/>
            <color rgb="FF000000"/>
            <rFont val="Verdana"/>
          </rPr>
          <t xml:space="preserve">BK:
CRTC Bell Aggregate Annual Return Report 2013, (IPTV revenue/IPTV subs )/12
</t>
        </r>
      </text>
    </comment>
    <comment ref="AK4" authorId="0">
      <text>
        <r>
          <rPr>
            <sz val="10"/>
            <color rgb="FF000000"/>
            <rFont val="Verdana"/>
          </rPr>
          <t>CRTC Bell Aggregate Annual Return Report 2014, (IPTV revenue/IPTV subs )/12</t>
        </r>
      </text>
    </comment>
    <comment ref="L5" authorId="0">
      <text>
        <r>
          <rPr>
            <sz val="10"/>
            <color rgb="FF000000"/>
            <rFont val="Verdana"/>
          </rPr>
          <t>Estimate based on Telus AR 2014 IPTV subscriber figures (p. 3) multiplied by (ARPU *12) as calculated using CRTC Aggregate Annual returns</t>
        </r>
      </text>
    </comment>
    <comment ref="R5" authorId="0">
      <text>
        <r>
          <rPr>
            <sz val="10"/>
            <color rgb="FF000000"/>
            <rFont val="Verdana"/>
          </rPr>
          <t xml:space="preserve">Telus AR 2009, p. 10. </t>
        </r>
      </text>
    </comment>
    <comment ref="S5" authorId="0">
      <text>
        <r>
          <rPr>
            <sz val="10"/>
            <color rgb="FF000000"/>
            <rFont val="Verdana"/>
          </rPr>
          <t xml:space="preserve">Telus AR 2009, p. 10. 
</t>
        </r>
      </text>
    </comment>
    <comment ref="T5" authorId="0">
      <text>
        <r>
          <rPr>
            <sz val="10"/>
            <color rgb="FF000000"/>
            <rFont val="Verdana"/>
          </rPr>
          <t xml:space="preserve">Telus AR 2009, p. 10. Reselling of Bell's DTH service introduced as of 2009. 
</t>
        </r>
      </text>
    </comment>
    <comment ref="U5" authorId="0">
      <text>
        <r>
          <rPr>
            <sz val="10"/>
            <color rgb="FF000000"/>
            <rFont val="Verdana"/>
          </rPr>
          <t>BK:
Telus AR 2013 p 40</t>
        </r>
      </text>
    </comment>
    <comment ref="V5" authorId="0">
      <text>
        <r>
          <rPr>
            <sz val="10"/>
            <color rgb="FF000000"/>
            <rFont val="Verdana"/>
          </rPr>
          <t>BK:
Telus AR 2013 p 40</t>
        </r>
      </text>
    </comment>
    <comment ref="W5" authorId="0">
      <text>
        <r>
          <rPr>
            <sz val="10"/>
            <color rgb="FF000000"/>
            <rFont val="Verdana"/>
          </rPr>
          <t>BK:
Telus AR 2013 p 40</t>
        </r>
      </text>
    </comment>
    <comment ref="X5" authorId="0">
      <text>
        <r>
          <rPr>
            <sz val="10"/>
            <color rgb="FF000000"/>
            <rFont val="Verdana"/>
          </rPr>
          <t>BK:
Telus AR 2013 p 40</t>
        </r>
      </text>
    </comment>
    <comment ref="Y5" authorId="0">
      <text>
        <r>
          <rPr>
            <sz val="10"/>
            <color rgb="FF000000"/>
            <rFont val="Verdana"/>
          </rPr>
          <t>Telus AR 2014 p. 40</t>
        </r>
      </text>
    </comment>
    <comment ref="AD5" authorId="0">
      <text>
        <r>
          <rPr>
            <sz val="10"/>
            <color rgb="FF000000"/>
            <rFont val="Verdana"/>
          </rPr>
          <t xml:space="preserve">MTS AR 2010, p. 17
</t>
        </r>
      </text>
    </comment>
    <comment ref="AE5" authorId="0">
      <text>
        <r>
          <rPr>
            <sz val="10"/>
            <color rgb="FF000000"/>
            <rFont val="Verdana"/>
          </rPr>
          <t>MTS AR 2010, p. 17</t>
        </r>
      </text>
    </comment>
    <comment ref="AF5" authorId="0">
      <text>
        <r>
          <rPr>
            <sz val="10"/>
            <color rgb="FF000000"/>
            <rFont val="Verdana"/>
          </rPr>
          <t xml:space="preserve">MTS AR 2010, p. 17
</t>
        </r>
      </text>
    </comment>
    <comment ref="AG5" authorId="0">
      <text>
        <r>
          <rPr>
            <sz val="10"/>
            <color rgb="FF000000"/>
            <rFont val="Verdana"/>
          </rPr>
          <t xml:space="preserve">Based on average of known ARPUs for Bell Aliant, Bell and MTS.
</t>
        </r>
      </text>
    </comment>
    <comment ref="AH5" authorId="0">
      <text>
        <r>
          <rPr>
            <sz val="10"/>
            <color rgb="FF000000"/>
            <rFont val="Verdana"/>
          </rPr>
          <t xml:space="preserve">Based on average of known ARPUs for Bell Aliant, Bell and MTS.
</t>
        </r>
      </text>
    </comment>
    <comment ref="AI5" authorId="0">
      <text>
        <r>
          <rPr>
            <sz val="10"/>
            <color rgb="FF000000"/>
            <rFont val="Verdana"/>
          </rPr>
          <t>Based on average of known ARPUs for Bell Aliant, Bell and MTS.</t>
        </r>
      </text>
    </comment>
    <comment ref="AJ5" authorId="0">
      <text>
        <r>
          <rPr>
            <sz val="10"/>
            <color rgb="FF000000"/>
            <rFont val="Verdana"/>
          </rPr>
          <t>BK:
CRTC Telus Aggregate Annual Return Report 2013, (IPTV revenue/IPTV subs )/12</t>
        </r>
      </text>
    </comment>
    <comment ref="AK5" authorId="0">
      <text>
        <r>
          <rPr>
            <sz val="10"/>
            <color rgb="FF000000"/>
            <rFont val="Verdana"/>
          </rPr>
          <t>CRTC Aggregate Annual returns, (Total IPTV revenue/total subs)/12 http://www.crtc.gc.ca/public/5040/TELUS%20Optik%20TV_2014%20BDU%20Aggregate%20Return_1Dec2014_ABRIDGED.pdf</t>
        </r>
      </text>
    </comment>
    <comment ref="C6" authorId="0">
      <text>
        <r>
          <rPr>
            <sz val="10"/>
            <color rgb="FF000000"/>
            <rFont val="Verdana"/>
          </rPr>
          <t xml:space="preserve">Paid digital revenues, MTS AR 2005, p. 25.
</t>
        </r>
      </text>
    </comment>
    <comment ref="D6" authorId="0">
      <text>
        <r>
          <rPr>
            <sz val="10"/>
            <color rgb="FF000000"/>
            <rFont val="Verdana"/>
          </rPr>
          <t xml:space="preserve">MTS, AR 2006, p. 24.
</t>
        </r>
      </text>
    </comment>
    <comment ref="H6" authorId="0">
      <text>
        <r>
          <rPr>
            <sz val="10"/>
            <color rgb="FF000000"/>
            <rFont val="Verdana"/>
          </rPr>
          <t xml:space="preserve">2007-2010 based on subscribers * ARPU and calculation of Y-O-Y growth. All other years direct from MTS.
</t>
        </r>
      </text>
    </comment>
    <comment ref="I6" authorId="0">
      <text>
        <r>
          <rPr>
            <sz val="10"/>
            <color rgb="FF000000"/>
            <rFont val="Verdana"/>
          </rPr>
          <t xml:space="preserve">MTS AR 2012, p. 3.
</t>
        </r>
      </text>
    </comment>
    <comment ref="J6" authorId="0">
      <text>
        <r>
          <rPr>
            <sz val="10"/>
            <color rgb="FF000000"/>
            <rFont val="Verdana"/>
          </rPr>
          <t xml:space="preserve">MTS AR 2012, p. 3.
</t>
        </r>
      </text>
    </comment>
    <comment ref="K6" authorId="0">
      <text>
        <r>
          <rPr>
            <sz val="10"/>
            <color rgb="FF000000"/>
            <rFont val="Verdana"/>
          </rPr>
          <t xml:space="preserve">BK:
MTS AR 2013 p. 2. 
</t>
        </r>
      </text>
    </comment>
    <comment ref="L6" authorId="0">
      <text>
        <r>
          <rPr>
            <sz val="10"/>
            <color rgb="FF000000"/>
            <rFont val="Verdana"/>
          </rPr>
          <t>MTS AR 2014 p. 16</t>
        </r>
      </text>
    </comment>
    <comment ref="O6" authorId="0">
      <text>
        <r>
          <rPr>
            <sz val="10"/>
            <color rgb="FF000000"/>
            <rFont val="Verdana"/>
          </rPr>
          <t xml:space="preserve">MTS, AR 2005, p. 62.
</t>
        </r>
      </text>
    </comment>
    <comment ref="P6" authorId="0">
      <text>
        <r>
          <rPr>
            <sz val="10"/>
            <color rgb="FF000000"/>
            <rFont val="Verdana"/>
          </rPr>
          <t xml:space="preserve">MTS, AR 2005, p. 62.
</t>
        </r>
      </text>
    </comment>
    <comment ref="R6" authorId="0">
      <text>
        <r>
          <rPr>
            <sz val="10"/>
            <color rgb="FF000000"/>
            <rFont val="Verdana"/>
          </rPr>
          <t xml:space="preserve">MTS AR 2007, p. 63
</t>
        </r>
      </text>
    </comment>
    <comment ref="T6" authorId="0">
      <text>
        <r>
          <rPr>
            <sz val="10"/>
            <color rgb="FF000000"/>
            <rFont val="Verdana"/>
          </rPr>
          <t xml:space="preserve">MTS AR 2010, p. 17.
</t>
        </r>
      </text>
    </comment>
    <comment ref="U6" authorId="0">
      <text>
        <r>
          <rPr>
            <sz val="10"/>
            <color rgb="FF000000"/>
            <rFont val="Verdana"/>
          </rPr>
          <t>BK:
MTS AR 2013, p 21</t>
        </r>
      </text>
    </comment>
    <comment ref="V6" authorId="0">
      <text>
        <r>
          <rPr>
            <sz val="10"/>
            <color rgb="FF000000"/>
            <rFont val="Verdana"/>
          </rPr>
          <t>BK:
MTS AR 2013, p 21</t>
        </r>
      </text>
    </comment>
    <comment ref="W6" authorId="0">
      <text>
        <r>
          <rPr>
            <sz val="10"/>
            <color rgb="FF000000"/>
            <rFont val="Verdana"/>
          </rPr>
          <t>BK:
MTS AR 2013, p 21</t>
        </r>
      </text>
    </comment>
    <comment ref="X6" authorId="0">
      <text>
        <r>
          <rPr>
            <sz val="10"/>
            <color rgb="FF000000"/>
            <rFont val="Verdana"/>
          </rPr>
          <t>BK:
MTS AR 2013, p 21</t>
        </r>
      </text>
    </comment>
    <comment ref="Y6" authorId="0">
      <text>
        <r>
          <rPr>
            <sz val="10"/>
            <color rgb="FF000000"/>
            <rFont val="Verdana"/>
          </rPr>
          <t>MTS AR 2014 p. 77</t>
        </r>
      </text>
    </comment>
    <comment ref="AB6" authorId="0">
      <text>
        <r>
          <rPr>
            <sz val="10"/>
            <color rgb="FF000000"/>
            <rFont val="Verdana"/>
          </rPr>
          <t xml:space="preserve">Estimate based on total revenues / subscribers as per MTS , AR 2005, p. 25.
</t>
        </r>
      </text>
    </comment>
    <comment ref="AC6" authorId="0">
      <text>
        <r>
          <rPr>
            <sz val="10"/>
            <color rgb="FF000000"/>
            <rFont val="Verdana"/>
          </rPr>
          <t xml:space="preserve">MTS AR 2010, p. 17
</t>
        </r>
      </text>
    </comment>
    <comment ref="AD6" authorId="0">
      <text>
        <r>
          <rPr>
            <sz val="10"/>
            <color rgb="FF000000"/>
            <rFont val="Verdana"/>
          </rPr>
          <t xml:space="preserve">MTS AR 2010, p. 17
</t>
        </r>
      </text>
    </comment>
    <comment ref="AE6" authorId="0">
      <text>
        <r>
          <rPr>
            <sz val="10"/>
            <color rgb="FF000000"/>
            <rFont val="Verdana"/>
          </rPr>
          <t>MTS AR 2010, p. 17</t>
        </r>
      </text>
    </comment>
    <comment ref="AF6" authorId="0">
      <text>
        <r>
          <rPr>
            <sz val="10"/>
            <color rgb="FF000000"/>
            <rFont val="Verdana"/>
          </rPr>
          <t xml:space="preserve">MTS AR 2010, p. 17
</t>
        </r>
      </text>
    </comment>
    <comment ref="AG6" authorId="0">
      <text>
        <r>
          <rPr>
            <sz val="10"/>
            <color rgb="FF000000"/>
            <rFont val="Verdana"/>
          </rPr>
          <t xml:space="preserve">MTS AR 2010, p. 17
</t>
        </r>
      </text>
    </comment>
    <comment ref="AJ6" authorId="0">
      <text>
        <r>
          <rPr>
            <sz val="10"/>
            <color rgb="FF000000"/>
            <rFont val="Verdana"/>
          </rPr>
          <t xml:space="preserve">Brian Wilkinson:
MTS A/R 2013, p. 21.
</t>
        </r>
      </text>
    </comment>
    <comment ref="L7" authorId="0">
      <text>
        <r>
          <rPr>
            <sz val="10"/>
            <color rgb="FF000000"/>
            <rFont val="Verdana"/>
          </rPr>
          <t>See sheet on Cable/Sat/IPTV.</t>
        </r>
      </text>
    </comment>
    <comment ref="O7" authorId="0">
      <text>
        <r>
          <rPr>
            <sz val="10"/>
            <color rgb="FF000000"/>
            <rFont val="Verdana"/>
          </rPr>
          <t xml:space="preserve">SaskTel, AR 2004, p. 13.
</t>
        </r>
      </text>
    </comment>
    <comment ref="P7" authorId="0">
      <text>
        <r>
          <rPr>
            <sz val="10"/>
            <color rgb="FF000000"/>
            <rFont val="Verdana"/>
          </rPr>
          <t xml:space="preserve">SaskTel, AR 2009, p. 45.
</t>
        </r>
      </text>
    </comment>
    <comment ref="Q7" authorId="0">
      <text>
        <r>
          <rPr>
            <sz val="10"/>
            <color rgb="FF000000"/>
            <rFont val="Verdana"/>
          </rPr>
          <t xml:space="preserve">SaskTel, AR 2009, p. 45.
</t>
        </r>
      </text>
    </comment>
    <comment ref="R7" authorId="0">
      <text>
        <r>
          <rPr>
            <sz val="10"/>
            <color rgb="FF000000"/>
            <rFont val="Verdana"/>
          </rPr>
          <t xml:space="preserve">SaskTel, AR 2009, p. 45.
</t>
        </r>
      </text>
    </comment>
    <comment ref="S7" authorId="0">
      <text>
        <r>
          <rPr>
            <sz val="10"/>
            <color rgb="FF000000"/>
            <rFont val="Verdana"/>
          </rPr>
          <t xml:space="preserve">SaskTel, AR 2009, p. 45.
</t>
        </r>
      </text>
    </comment>
    <comment ref="T7" authorId="0">
      <text>
        <r>
          <rPr>
            <sz val="10"/>
            <color rgb="FF000000"/>
            <rFont val="Verdana"/>
          </rPr>
          <t>SaskTel, AR 2009, p. 45.</t>
        </r>
      </text>
    </comment>
    <comment ref="U7" authorId="0">
      <text>
        <r>
          <rPr>
            <sz val="10"/>
            <color rgb="FF000000"/>
            <rFont val="Verdana"/>
          </rPr>
          <t xml:space="preserve">Brian Wilkinson:
SaskTel, A/R 2013, p. 47. 
</t>
        </r>
      </text>
    </comment>
    <comment ref="V7" authorId="0">
      <text>
        <r>
          <rPr>
            <sz val="10"/>
            <color rgb="FF000000"/>
            <rFont val="Verdana"/>
          </rPr>
          <t xml:space="preserve">Brian Wilkinson:
SaskTel, A/R 2013, p. 47. 
</t>
        </r>
      </text>
    </comment>
    <comment ref="W7" authorId="0">
      <text>
        <r>
          <rPr>
            <sz val="10"/>
            <color rgb="FF000000"/>
            <rFont val="Verdana"/>
          </rPr>
          <t xml:space="preserve">Brian Wilkinson:
 SaskTel, A/R 2013, p. 47. </t>
        </r>
      </text>
    </comment>
    <comment ref="X7" authorId="0">
      <text>
        <r>
          <rPr>
            <sz val="10"/>
            <color rgb="FF000000"/>
            <rFont val="Verdana"/>
          </rPr>
          <t xml:space="preserve">Brian Wilkinson:
SaskTel, A/R 2013, p. 47. 
</t>
        </r>
      </text>
    </comment>
    <comment ref="Y7" authorId="0">
      <text>
        <r>
          <rPr>
            <sz val="10"/>
            <color rgb="FF000000"/>
            <rFont val="Verdana"/>
          </rPr>
          <t>Sasktel AR 2014, p. 57</t>
        </r>
      </text>
    </comment>
    <comment ref="AB7" authorId="0">
      <text>
        <r>
          <rPr>
            <sz val="10"/>
            <color rgb="FF000000"/>
            <rFont val="Verdana"/>
          </rPr>
          <t xml:space="preserve">Uses MTS as proxy. 
</t>
        </r>
      </text>
    </comment>
    <comment ref="AD7" authorId="0">
      <text>
        <r>
          <rPr>
            <sz val="10"/>
            <color rgb="FF000000"/>
            <rFont val="Verdana"/>
          </rPr>
          <t xml:space="preserve">Brian Wilkinson:
Using MTS </t>
        </r>
      </text>
    </comment>
    <comment ref="AF7" authorId="0">
      <text>
        <r>
          <rPr>
            <sz val="10"/>
            <color rgb="FF000000"/>
            <rFont val="Verdana"/>
          </rPr>
          <t>In absence of either ARPU figures or total revenues, SaskTel's IPTV ARPU estimate based on the average of known ARPU's for 2009 from MTS and Telus.</t>
        </r>
      </text>
    </comment>
    <comment ref="AG7" authorId="0">
      <text>
        <r>
          <rPr>
            <sz val="10"/>
            <color rgb="FF000000"/>
            <rFont val="Verdana"/>
          </rPr>
          <t xml:space="preserve">In absence of either ARPU figures or total revenues, SaskTel's IPTV ARPU estimate based on the average of known ARPU's for 2010 from MTS and Telus. Aliant's estimated ARPU excluded because it appears to be a promotional rate to intro the service. </t>
        </r>
      </text>
    </comment>
    <comment ref="AH7" authorId="0">
      <text>
        <r>
          <rPr>
            <sz val="10"/>
            <color rgb="FF000000"/>
            <rFont val="Verdana"/>
          </rPr>
          <t xml:space="preserve">In absence of either ARPU figures or total revenues, SaskTel's IPTV ARPU estimate based on the average of known ARPU's for 2011 from MTS, Telus, Bell and Bell Aliant.  
</t>
        </r>
      </text>
    </comment>
    <comment ref="AI7" authorId="0">
      <text>
        <r>
          <rPr>
            <sz val="10"/>
            <color rgb="FF000000"/>
            <rFont val="Verdana"/>
          </rPr>
          <t xml:space="preserve">In absence of either ARPU figures or total revenues, SaskTel's IPTV ARPU estimate based on the average of known ARPU's for 2012 from MTS, Telus, Bell Aliant and Bell. 
</t>
        </r>
      </text>
    </comment>
    <comment ref="AJ7" authorId="0">
      <text>
        <r>
          <rPr>
            <sz val="10"/>
            <color rgb="FF000000"/>
            <rFont val="Verdana"/>
          </rPr>
          <t xml:space="preserve">In absence of either ARPU figures or total revenues, SaskTel's IPTV ARPU estimate based on the average of known ARPU's for 2013 from MTS, Telus and Bell Aliantl. 
</t>
        </r>
      </text>
    </comment>
    <comment ref="V12" authorId="0">
      <text>
        <r>
          <rPr>
            <sz val="10"/>
            <color rgb="FF000000"/>
            <rFont val="Verdana"/>
          </rPr>
          <t>Dwayne Winseck:
based on 2012 Q4 Conference call reference 12% y2y increase of ARPU from 2011 to 2012</t>
        </r>
      </text>
    </comment>
    <comment ref="W12" authorId="0">
      <text>
        <r>
          <rPr>
            <sz val="10"/>
            <color rgb="FF000000"/>
            <rFont val="Verdana"/>
          </rPr>
          <t xml:space="preserve">Investor Conference 2012 Q4 (Feb. 7, 2013) (http://bce.ca/assets/investors/Q4-2012/2013BCEInvestorConference_FinalConsolidated.pdf, p. 40
</t>
        </r>
      </text>
    </comment>
    <comment ref="X12" authorId="0">
      <text>
        <r>
          <rPr>
            <sz val="10"/>
            <color rgb="FF000000"/>
            <rFont val="Verdana"/>
          </rPr>
          <t>BK:
CRTC Bell Aggregate Annual Return Report 2013, (IPTV revenue/IPTV subs )/12</t>
        </r>
      </text>
    </comment>
    <comment ref="Y12" authorId="0">
      <text>
        <r>
          <rPr>
            <sz val="10"/>
            <color rgb="FF000000"/>
            <rFont val="Verdana"/>
          </rPr>
          <t>CRTC Bell Aggregate Annual Return Report 2014, (IPTV revenue/IPTV subs )/12</t>
        </r>
      </text>
    </comment>
    <comment ref="X18" authorId="0">
      <text>
        <r>
          <rPr>
            <sz val="10"/>
            <color rgb="FF000000"/>
            <rFont val="Verdana"/>
          </rPr>
          <t xml:space="preserve">BK:
CRTC Bell Aggregate Annual Return Report 2013, (IPTV revenue/IPTV subs )/12
</t>
        </r>
      </text>
    </comment>
    <comment ref="Y18" authorId="0">
      <text>
        <r>
          <rPr>
            <sz val="10"/>
            <color rgb="FF000000"/>
            <rFont val="Verdana"/>
          </rPr>
          <t>CRTC Bell Aggregate Annual Return Report 2014, (IPTV revenue/IPTV subs )/12</t>
        </r>
      </text>
    </comment>
    <comment ref="T22" authorId="0">
      <text>
        <r>
          <rPr>
            <sz val="10"/>
            <color rgb="FF000000"/>
            <rFont val="Verdana"/>
          </rPr>
          <t>Brian Wilkinson:
Estimate based on avg of 2008 and 2010 ARPU</t>
        </r>
      </text>
    </comment>
    <comment ref="W22" authorId="0">
      <text>
        <r>
          <rPr>
            <sz val="10"/>
            <color rgb="FF000000"/>
            <rFont val="Verdana"/>
          </rPr>
          <t>Brian Wilkinson:
Avg from Bell, Bell Aliant and MTS</t>
        </r>
      </text>
    </comment>
    <comment ref="X22" authorId="0">
      <text>
        <r>
          <rPr>
            <sz val="10"/>
            <color rgb="FF000000"/>
            <rFont val="Verdana"/>
          </rPr>
          <t>BK:
CRTC Telus Aggregate Annual Return Report 2013, (IPTV revenue/IPTV subs )/12</t>
        </r>
      </text>
    </comment>
    <comment ref="Y22" authorId="0">
      <text>
        <r>
          <rPr>
            <sz val="10"/>
            <color rgb="FF000000"/>
            <rFont val="Verdana"/>
          </rPr>
          <t>BK:
CRTC Telus Aggregate Annual Return Report 2014, (IPTV revenue/IPTV subs )/12</t>
        </r>
      </text>
    </comment>
    <comment ref="P25" authorId="0">
      <text>
        <r>
          <rPr>
            <sz val="10"/>
            <color rgb="FF000000"/>
            <rFont val="Verdana"/>
          </rPr>
          <t xml:space="preserve">MTS, AR 2005, p. 62.
</t>
        </r>
      </text>
    </comment>
    <comment ref="R25" authorId="0">
      <text>
        <r>
          <rPr>
            <sz val="10"/>
            <color rgb="FF000000"/>
            <rFont val="Verdana"/>
          </rPr>
          <t xml:space="preserve">MTS AR 2007, p. 63
</t>
        </r>
      </text>
    </comment>
    <comment ref="T25" authorId="0">
      <text>
        <r>
          <rPr>
            <sz val="10"/>
            <color rgb="FF000000"/>
            <rFont val="Verdana"/>
          </rPr>
          <t xml:space="preserve">MTS AR 2010, p. 17.
</t>
        </r>
      </text>
    </comment>
    <comment ref="Y25" authorId="0">
      <text>
        <r>
          <rPr>
            <sz val="10"/>
            <color rgb="FF000000"/>
            <rFont val="Verdana"/>
          </rPr>
          <t>MTS AR 2014 p. 16</t>
        </r>
      </text>
    </comment>
    <comment ref="P26" authorId="0">
      <text>
        <r>
          <rPr>
            <sz val="10"/>
            <color rgb="FF000000"/>
            <rFont val="Verdana"/>
          </rPr>
          <t xml:space="preserve">Estimate based on total revenues / subscribers as per MTS , AR 2005, p. 25.
</t>
        </r>
      </text>
    </comment>
    <comment ref="X26" authorId="0">
      <text>
        <r>
          <rPr>
            <sz val="10"/>
            <color rgb="FF000000"/>
            <rFont val="Verdana"/>
          </rPr>
          <t xml:space="preserve">Brian Wilkinson:
MTS A/R 2013, p. 21.
</t>
        </r>
      </text>
    </comment>
    <comment ref="Y26" authorId="0">
      <text>
        <r>
          <rPr>
            <sz val="10"/>
            <color rgb="FF000000"/>
            <rFont val="Verdana"/>
          </rPr>
          <t xml:space="preserve">MTS AR 2014 p. 16
</t>
        </r>
      </text>
    </comment>
    <comment ref="Y27" authorId="0">
      <text>
        <r>
          <rPr>
            <sz val="10"/>
            <color rgb="FF000000"/>
            <rFont val="Verdana"/>
          </rPr>
          <t xml:space="preserve">Figure as reported in MTS AR 2014, p. 16. This figure is slightly more than the figure arrived at by multiplying the number of subscribers * ARPU, i.e. $84.4m. </t>
        </r>
      </text>
    </comment>
    <comment ref="P29" authorId="0">
      <text>
        <r>
          <rPr>
            <sz val="10"/>
            <color rgb="FF000000"/>
            <rFont val="Verdana"/>
          </rPr>
          <t xml:space="preserve">SaskTel, AR 2009, p. 45.
</t>
        </r>
      </text>
    </comment>
    <comment ref="Q29" authorId="0">
      <text>
        <r>
          <rPr>
            <sz val="10"/>
            <color rgb="FF000000"/>
            <rFont val="Verdana"/>
          </rPr>
          <t xml:space="preserve">SaskTel, AR 2009, p. 45.
</t>
        </r>
      </text>
    </comment>
    <comment ref="R29" authorId="0">
      <text>
        <r>
          <rPr>
            <sz val="10"/>
            <color rgb="FF000000"/>
            <rFont val="Verdana"/>
          </rPr>
          <t xml:space="preserve">SaskTel, AR 2009, p. 45.
</t>
        </r>
      </text>
    </comment>
    <comment ref="S29" authorId="0">
      <text>
        <r>
          <rPr>
            <sz val="10"/>
            <color rgb="FF000000"/>
            <rFont val="Verdana"/>
          </rPr>
          <t xml:space="preserve">SaskTel, AR 2009, p. 45.
</t>
        </r>
      </text>
    </comment>
    <comment ref="T29" authorId="0">
      <text>
        <r>
          <rPr>
            <sz val="10"/>
            <color rgb="FF000000"/>
            <rFont val="Verdana"/>
          </rPr>
          <t>SaskTel, AR 2009, p. 45.</t>
        </r>
      </text>
    </comment>
    <comment ref="U29" authorId="0">
      <text>
        <r>
          <rPr>
            <sz val="10"/>
            <color rgb="FF000000"/>
            <rFont val="Verdana"/>
          </rPr>
          <t xml:space="preserve">Brian Wilkinson:
SaskTel, A/R 2013, p. 47. 
</t>
        </r>
      </text>
    </comment>
    <comment ref="V29" authorId="0">
      <text>
        <r>
          <rPr>
            <sz val="10"/>
            <color rgb="FF000000"/>
            <rFont val="Verdana"/>
          </rPr>
          <t xml:space="preserve">Brian Wilkinson:
SaskTel, A/R 2013, p. 47. 
</t>
        </r>
      </text>
    </comment>
    <comment ref="W29" authorId="0">
      <text>
        <r>
          <rPr>
            <sz val="10"/>
            <color rgb="FF000000"/>
            <rFont val="Verdana"/>
          </rPr>
          <t xml:space="preserve">Brian Wilkinson:
 SaskTel, A/R 2013, p. 47. </t>
        </r>
      </text>
    </comment>
    <comment ref="X29" authorId="0">
      <text>
        <r>
          <rPr>
            <sz val="10"/>
            <color rgb="FF000000"/>
            <rFont val="Verdana"/>
          </rPr>
          <t xml:space="preserve">Brian Wilkinson:
SaskTel, A/R 2013, p. 47. 
</t>
        </r>
      </text>
    </comment>
    <comment ref="AA36" authorId="0">
      <text>
        <r>
          <rPr>
            <sz val="10"/>
            <color rgb="FF000000"/>
            <rFont val="Verdana"/>
          </rPr>
          <t>CRTC Bell Aggregate Annual Return, 2014.</t>
        </r>
      </text>
    </comment>
    <comment ref="AA37" authorId="0">
      <text>
        <r>
          <rPr>
            <sz val="10"/>
            <color rgb="FF000000"/>
            <rFont val="Verdana"/>
          </rPr>
          <t xml:space="preserve">Estimate based on Bell's ARPU of $56.41 A * 218,537 IPTV subscribers (Bell, AR 2014, p. 73 </t>
        </r>
      </text>
    </comment>
    <comment ref="AA38" authorId="0">
      <text>
        <r>
          <rPr>
            <sz val="10"/>
            <color rgb="FF000000"/>
            <rFont val="Verdana"/>
          </rPr>
          <t>Estimate based on Telus AR 2014 IPTV subscriber figures (p. 3) multiplied by (ARPU *12) as calculated using CRTC Aggregate Annual returns</t>
        </r>
      </text>
    </comment>
    <comment ref="C39" authorId="0">
      <text>
        <r>
          <rPr>
            <sz val="10"/>
            <color rgb="FF000000"/>
            <rFont val="Verdana"/>
          </rPr>
          <t xml:space="preserve">Paid digital revenues, MTS AR 2005, p. 25.
</t>
        </r>
      </text>
    </comment>
    <comment ref="D39" authorId="0">
      <text>
        <r>
          <rPr>
            <sz val="10"/>
            <color rgb="FF000000"/>
            <rFont val="Verdana"/>
          </rPr>
          <t xml:space="preserve">MTS, AR 2006, p. 24.
</t>
        </r>
      </text>
    </comment>
    <comment ref="I39" authorId="0">
      <text>
        <r>
          <rPr>
            <sz val="10"/>
            <color rgb="FF000000"/>
            <rFont val="Verdana"/>
          </rPr>
          <t xml:space="preserve">MTS AR 2012, p. 3.
</t>
        </r>
      </text>
    </comment>
    <comment ref="J39" authorId="0">
      <text>
        <r>
          <rPr>
            <sz val="10"/>
            <color rgb="FF000000"/>
            <rFont val="Verdana"/>
          </rPr>
          <t xml:space="preserve">MTS AR 2012, p. 3.
</t>
        </r>
      </text>
    </comment>
    <comment ref="K39" authorId="0">
      <text>
        <r>
          <rPr>
            <sz val="10"/>
            <color rgb="FF000000"/>
            <rFont val="Verdana"/>
          </rPr>
          <t xml:space="preserve">MTS AR 2013 p. 2. </t>
        </r>
      </text>
    </comment>
    <comment ref="AA39" authorId="0">
      <text>
        <r>
          <rPr>
            <sz val="10"/>
            <color rgb="FF000000"/>
            <rFont val="Verdana"/>
          </rPr>
          <t>MTS AR 2014 p. 16</t>
        </r>
      </text>
    </comment>
    <comment ref="AA40" authorId="0">
      <text>
        <r>
          <rPr>
            <sz val="10"/>
            <color rgb="FF000000"/>
            <rFont val="Verdana"/>
          </rPr>
          <t>See sheet on Cable/Sat/IPTV.</t>
        </r>
      </text>
    </comment>
  </commentList>
</comments>
</file>

<file path=xl/comments8.xml><?xml version="1.0" encoding="utf-8"?>
<comments xmlns="http://schemas.openxmlformats.org/spreadsheetml/2006/main">
  <authors>
    <author/>
  </authors>
  <commentList>
    <comment ref="C3" authorId="0">
      <text>
        <r>
          <rPr>
            <sz val="10"/>
            <color rgb="FF000000"/>
            <rFont val="Verdana"/>
          </rPr>
          <t>CBC AR 1989-1990.</t>
        </r>
      </text>
    </comment>
    <comment ref="D3" authorId="0">
      <text>
        <r>
          <rPr>
            <sz val="10"/>
            <color rgb="FF000000"/>
            <rFont val="Verdana"/>
          </rPr>
          <t xml:space="preserve">CBC AR 1990-1991.
</t>
        </r>
      </text>
    </comment>
    <comment ref="E3" authorId="0">
      <text>
        <r>
          <rPr>
            <sz val="10"/>
            <color rgb="FF000000"/>
            <rFont val="Verdana"/>
          </rPr>
          <t xml:space="preserve">CBC AR 1992-1993.
</t>
        </r>
      </text>
    </comment>
    <comment ref="F3" authorId="0">
      <text>
        <r>
          <rPr>
            <sz val="10"/>
            <color rgb="FF000000"/>
            <rFont val="Verdana"/>
          </rPr>
          <t>CBC AR 1996-1997, p. 54.</t>
        </r>
      </text>
    </comment>
    <comment ref="G3" authorId="0">
      <text>
        <r>
          <rPr>
            <sz val="10"/>
            <color rgb="FF000000"/>
            <rFont val="Verdana"/>
          </rPr>
          <t>Lianrui Jia:
CRTC</t>
        </r>
      </text>
    </comment>
    <comment ref="H3" authorId="0">
      <text>
        <r>
          <rPr>
            <sz val="10"/>
            <color rgb="FF000000"/>
            <rFont val="Verdana"/>
          </rPr>
          <t xml:space="preserve">CBC AR 2000-2001, 46.
</t>
        </r>
      </text>
    </comment>
    <comment ref="I3" authorId="0">
      <text>
        <r>
          <rPr>
            <sz val="10"/>
            <color rgb="FF000000"/>
            <rFont val="Verdana"/>
          </rPr>
          <t>CBC AR 2003-2004, p. 51.</t>
        </r>
      </text>
    </comment>
    <comment ref="J3" authorId="0">
      <text>
        <r>
          <rPr>
            <sz val="10"/>
            <color rgb="FF000000"/>
            <rFont val="Verdana"/>
          </rPr>
          <t>LR:
CRTC CBC TV Aggregate Annual Return, 2008</t>
        </r>
      </text>
    </comment>
    <comment ref="K3" authorId="0">
      <text>
        <r>
          <rPr>
            <sz val="10"/>
            <color rgb="FF000000"/>
            <rFont val="Verdana"/>
          </rPr>
          <t>LR:
CRTC CBC TV Aggregate Annual Return, 2010</t>
        </r>
      </text>
    </comment>
    <comment ref="L3" authorId="0">
      <text>
        <r>
          <rPr>
            <sz val="10"/>
            <color rgb="FF000000"/>
            <rFont val="Verdana"/>
          </rPr>
          <t>LR:
CRTC CBC TV Aggregate Annual Return, 2011</t>
        </r>
      </text>
    </comment>
    <comment ref="M3" authorId="0">
      <text>
        <r>
          <rPr>
            <sz val="10"/>
            <color rgb="FF000000"/>
            <rFont val="Verdana"/>
          </rPr>
          <t>LR:
CRTC CBC TV Aggregate Annual Return, 2012</t>
        </r>
      </text>
    </comment>
    <comment ref="N3" authorId="0">
      <text>
        <r>
          <rPr>
            <sz val="10"/>
            <color rgb="FF000000"/>
            <rFont val="Verdana"/>
          </rPr>
          <t>Includes CBC annual appropriation plus advertising and other revenue as reported in CRTC CBC TV Aggregate Annual Return, 2013.</t>
        </r>
      </text>
    </comment>
    <comment ref="O3" authorId="0">
      <text>
        <r>
          <rPr>
            <sz val="10"/>
            <color rgb="FF000000"/>
            <rFont val="Verdana"/>
          </rPr>
          <t>Includes CBC annual appropriation plus advertising and other revenue as reported in CRTC CBC TV Aggregate Annual Return, 2014.</t>
        </r>
      </text>
    </comment>
    <comment ref="L4" authorId="0">
      <text>
        <r>
          <rPr>
            <sz val="10"/>
            <color rgb="FF000000"/>
            <rFont val="Verdana"/>
          </rPr>
          <t>LR:
CRTC BCE TV Aggregate Annual Returns, 2011</t>
        </r>
      </text>
    </comment>
    <comment ref="M4" authorId="0">
      <text>
        <r>
          <rPr>
            <sz val="10"/>
            <color rgb="FF000000"/>
            <rFont val="Verdana"/>
          </rPr>
          <t>LR:
CRTC BCE TV Aggregate Annual Returns, 2012</t>
        </r>
      </text>
    </comment>
    <comment ref="N4" authorId="0">
      <text>
        <r>
          <rPr>
            <sz val="10"/>
            <color rgb="FF000000"/>
            <rFont val="Verdana"/>
          </rPr>
          <t>LR:
CRTC BCE TV Aggregate Annual Returns, 2013</t>
        </r>
      </text>
    </comment>
    <comment ref="O4" authorId="0">
      <text>
        <r>
          <rPr>
            <sz val="10"/>
            <color rgb="FF000000"/>
            <rFont val="Verdana"/>
          </rPr>
          <t>CRTC BCE TV Aggregate Annual Returns, 2014.</t>
        </r>
      </text>
    </comment>
    <comment ref="J5" authorId="0">
      <text>
        <r>
          <rPr>
            <sz val="10"/>
            <color rgb="FF000000"/>
            <rFont val="Verdana"/>
          </rPr>
          <t>LR:
CRTC CTVGlobeMedia Aggregate Annual Returns, 2008</t>
        </r>
      </text>
    </comment>
    <comment ref="K5" authorId="0">
      <text>
        <r>
          <rPr>
            <sz val="10"/>
            <color rgb="FF000000"/>
            <rFont val="Verdana"/>
          </rPr>
          <t>LR:
CTRC CTVGlobeMedia Aggregate Annual Return, 2010</t>
        </r>
      </text>
    </comment>
    <comment ref="I6" authorId="0">
      <text>
        <r>
          <rPr>
            <sz val="10"/>
            <color rgb="FF000000"/>
            <rFont val="Verdana"/>
          </rPr>
          <t>CRTC BPMR 2006, p. 61.</t>
        </r>
      </text>
    </comment>
    <comment ref="B7" authorId="0">
      <text>
        <r>
          <rPr>
            <sz val="10"/>
            <color rgb="FF000000"/>
            <rFont val="Verdana"/>
          </rPr>
          <t xml:space="preserve">FP Infomart CTV (Baton) Company Profile, 1998, p.11. Total revenues * .96 to exclude revenues from broadcast production as noted in source. </t>
        </r>
      </text>
    </comment>
    <comment ref="C7" authorId="0">
      <text>
        <r>
          <rPr>
            <sz val="10"/>
            <color rgb="FF000000"/>
            <rFont val="Verdana"/>
          </rPr>
          <t xml:space="preserve">FP Infomart CTV (Baton) Company Profile, 1998, p.11. Total revenues * .96 to exclude revenues from broadcast production as noted in source. </t>
        </r>
      </text>
    </comment>
    <comment ref="D7" authorId="0">
      <text>
        <r>
          <rPr>
            <sz val="10"/>
            <color rgb="FF000000"/>
            <rFont val="Verdana"/>
          </rPr>
          <t xml:space="preserve">FP Infomart CTV (Baton) Company Profile, 1998, p.11. Total revenues * .96 to exclude revenues from broadcast production as noted in source. </t>
        </r>
      </text>
    </comment>
    <comment ref="E7" authorId="0">
      <text>
        <r>
          <rPr>
            <sz val="10"/>
            <color rgb="FF000000"/>
            <rFont val="Verdana"/>
          </rPr>
          <t xml:space="preserve">FP Infomart CTV (Baton) Company Profile, 1998, p.11. Total revenues * .96 to exclude revenues from broadcast production as noted in source. </t>
        </r>
      </text>
    </comment>
    <comment ref="F7" authorId="0">
      <text>
        <r>
          <rPr>
            <sz val="10"/>
            <color rgb="FF000000"/>
            <rFont val="Verdana"/>
          </rPr>
          <t>FP Infomart Baton Company Profile, 1998, p.9.</t>
        </r>
      </text>
    </comment>
    <comment ref="G7" authorId="0">
      <text>
        <r>
          <rPr>
            <sz val="10"/>
            <color rgb="FF000000"/>
            <rFont val="Verdana"/>
          </rPr>
          <t>CRTC Broadcast Policy Monitoring Report, 2000, p. 37.</t>
        </r>
      </text>
    </comment>
    <comment ref="H7" authorId="0">
      <text>
        <r>
          <rPr>
            <sz val="10"/>
            <color rgb="FF000000"/>
            <rFont val="Verdana"/>
          </rPr>
          <t>CRTC, Broadcasting Policy Monitoring Report 2004, p. 60.</t>
        </r>
      </text>
    </comment>
    <comment ref="B8" authorId="0">
      <text>
        <r>
          <rPr>
            <sz val="10"/>
            <color rgb="FF000000"/>
            <rFont val="Verdana"/>
          </rPr>
          <t xml:space="preserve">Electrohome AR 1985, p. 10. </t>
        </r>
      </text>
    </comment>
    <comment ref="C8" authorId="0">
      <text>
        <r>
          <rPr>
            <sz val="10"/>
            <color rgb="FF000000"/>
            <rFont val="Verdana"/>
          </rPr>
          <t>Electrohome AR 1989, p. 20.</t>
        </r>
      </text>
    </comment>
    <comment ref="D8" authorId="0">
      <text>
        <r>
          <rPr>
            <sz val="10"/>
            <color rgb="FF000000"/>
            <rFont val="Verdana"/>
          </rPr>
          <t>Electrohome AR 1991, p. 10.</t>
        </r>
      </text>
    </comment>
    <comment ref="E8" authorId="0">
      <text>
        <r>
          <rPr>
            <sz val="10"/>
            <color rgb="FF000000"/>
            <rFont val="Verdana"/>
          </rPr>
          <t>Electrohome AR 1993, p. 15.</t>
        </r>
      </text>
    </comment>
    <comment ref="F15" authorId="0">
      <text>
        <r>
          <rPr>
            <sz val="10"/>
            <color rgb="FF000000"/>
            <rFont val="Verdana"/>
          </rPr>
          <t>CHUM AR 1997, p. 16 - pay/spec TV and radio revenues.</t>
        </r>
      </text>
    </comment>
    <comment ref="G15" authorId="0">
      <text>
        <r>
          <rPr>
            <sz val="10"/>
            <color rgb="FF000000"/>
            <rFont val="Verdana"/>
          </rPr>
          <t xml:space="preserve">CHUM AR 2000, p. 26 minus Specialty and Pay $ and Radio $ from CRTC Specialty and Pay TV Fin Sums, 1998-2002 and BPMR, 2001, p. 5, respectively.
</t>
        </r>
      </text>
    </comment>
    <comment ref="H15" authorId="0">
      <text>
        <r>
          <rPr>
            <sz val="10"/>
            <color rgb="FF000000"/>
            <rFont val="Verdana"/>
          </rPr>
          <t xml:space="preserve">CHUM AR 2000, p. 51 minus Specialty and Pay $ from CRTC Specialty and Pay TV Fin Sums, 2000-2004.
</t>
        </r>
      </text>
    </comment>
    <comment ref="I15" authorId="0">
      <text>
        <r>
          <rPr>
            <sz val="10"/>
            <color rgb="FF000000"/>
            <rFont val="Verdana"/>
          </rPr>
          <t>CHUM AR 2005, p. 28 - Specialty and Pay $ from CRTC Specialty and Pay TV Fin Sums, 2000-2004</t>
        </r>
      </text>
    </comment>
    <comment ref="G16" authorId="0">
      <text>
        <r>
          <rPr>
            <sz val="10"/>
            <color rgb="FF000000"/>
            <rFont val="Verdana"/>
          </rPr>
          <t>CRTC, Broadcasting Policy Monitoring Report 2000, p. 37.</t>
        </r>
      </text>
    </comment>
    <comment ref="H16" authorId="0">
      <text>
        <r>
          <rPr>
            <sz val="10"/>
            <color rgb="FF000000"/>
            <rFont val="Verdana"/>
          </rPr>
          <t>CRTC, Broadcasting Policy Monitoring Report 2004, p. 60.</t>
        </r>
      </text>
    </comment>
    <comment ref="I16" authorId="0">
      <text>
        <r>
          <rPr>
            <sz val="10"/>
            <color rgb="FF000000"/>
            <rFont val="Verdana"/>
          </rPr>
          <t>CRTC BPMR 2006, p. 61.</t>
        </r>
      </text>
    </comment>
    <comment ref="K18" authorId="0">
      <text>
        <r>
          <rPr>
            <sz val="10"/>
            <color rgb="FF000000"/>
            <rFont val="Verdana"/>
          </rPr>
          <t>LR:
CRTC Shaw TV Aggregate Annual Returns, 2010</t>
        </r>
      </text>
    </comment>
    <comment ref="L18" authorId="0">
      <text>
        <r>
          <rPr>
            <sz val="10"/>
            <color rgb="FF000000"/>
            <rFont val="Verdana"/>
          </rPr>
          <t>LR:
CRTC Shaw TV Aggregate Annual Returns, 2011</t>
        </r>
      </text>
    </comment>
    <comment ref="M18" authorId="0">
      <text>
        <r>
          <rPr>
            <sz val="10"/>
            <color rgb="FF000000"/>
            <rFont val="Verdana"/>
          </rPr>
          <t>LR:
CRTC Shaw TV Aggregate Annual Returns, 2012</t>
        </r>
      </text>
    </comment>
    <comment ref="N18" authorId="0">
      <text>
        <r>
          <rPr>
            <sz val="10"/>
            <color rgb="FF000000"/>
            <rFont val="Verdana"/>
          </rPr>
          <t>LR:
CRTC Shaw TV Aggregate Annual Returns, 2013</t>
        </r>
      </text>
    </comment>
    <comment ref="O18" authorId="0">
      <text>
        <r>
          <rPr>
            <sz val="10"/>
            <color rgb="FF000000"/>
            <rFont val="Verdana"/>
          </rPr>
          <t>CRTC Shaw TV Aggregate Annual Returns, 2014</t>
        </r>
      </text>
    </comment>
    <comment ref="H19" authorId="0">
      <text>
        <r>
          <rPr>
            <sz val="10"/>
            <color rgb="FF000000"/>
            <rFont val="Verdana"/>
          </rPr>
          <t xml:space="preserve">Corus AR 2000, p 74 contains commentary that indicate approximately 87.5% of the company's revenue growth of $9.5 million in its "Diversified Media" segment stemmed from its acquisition of four conventional tv stations from Power Corp that year. One of those four stations, CHUA of Quebec was sold the following year (Corus, AR 2001, p. 14).
</t>
        </r>
      </text>
    </comment>
    <comment ref="J19" authorId="0">
      <text>
        <r>
          <rPr>
            <sz val="10"/>
            <color rgb="FF000000"/>
            <rFont val="Verdana"/>
          </rPr>
          <t>Estimate of revenues for Corus three conventional tv stations: Channel 12 (Oshawa), CHEX TV (Peterborough) and CKWS TV (Kingston).</t>
        </r>
      </text>
    </comment>
    <comment ref="K19" authorId="0">
      <text>
        <r>
          <rPr>
            <sz val="10"/>
            <color rgb="FF000000"/>
            <rFont val="Verdana"/>
          </rPr>
          <t>Estimate uses earlier estimates of Corus' revenues for its three revenue stations minus the the y-o-y growth rate between 2008 and 2010 of - .55% as per CRTC, CMR 2013, p. 90.</t>
        </r>
      </text>
    </comment>
    <comment ref="L19" authorId="0">
      <text>
        <r>
          <rPr>
            <sz val="10"/>
            <color rgb="FF000000"/>
            <rFont val="Verdana"/>
          </rPr>
          <t>Estimate uses earlier estimates of Corus' revenues for its three revenue stations minus the the y-o-y growth rate between 2008 and 2010 of - .55% as per CRTC, CMR 2013, p. 90.</t>
        </r>
      </text>
    </comment>
    <comment ref="M19" authorId="0">
      <text>
        <r>
          <rPr>
            <sz val="10"/>
            <color rgb="FF000000"/>
            <rFont val="Verdana"/>
          </rPr>
          <t>Estimate uses earlier estimates of Corus' revenues for its three revenue stations minus the the y-o-y growth rate between 2008 and 2010 of - .55% as per CRTC, CMR 2013, p. 90.</t>
        </r>
      </text>
    </comment>
    <comment ref="N19" authorId="0">
      <text>
        <r>
          <rPr>
            <sz val="10"/>
            <color rgb="FF000000"/>
            <rFont val="Verdana"/>
          </rPr>
          <t>Estimate uses earlier estimates of Corus' revenues for its three revenue stations minus the the y-o-y growth rate between 2008 and 2010 of - .55% as per CRTC, CMR 2013, p. 90.</t>
        </r>
      </text>
    </comment>
    <comment ref="O19" authorId="0">
      <text>
        <r>
          <rPr>
            <sz val="10"/>
            <color rgb="FF000000"/>
            <rFont val="Verdana"/>
          </rPr>
          <t>Estimate based on y-o-y decline of 4.8% as reported in CRTC, CMR 2014, p. 70.</t>
        </r>
      </text>
    </comment>
    <comment ref="F20" authorId="0">
      <text>
        <r>
          <rPr>
            <sz val="10"/>
            <color rgb="FF000000"/>
            <rFont val="Verdana"/>
          </rPr>
          <t xml:space="preserve">Canwest, AR 1999, p. 20. 
</t>
        </r>
      </text>
    </comment>
    <comment ref="G20" authorId="0">
      <text>
        <r>
          <rPr>
            <sz val="10"/>
            <color rgb="FF000000"/>
            <rFont val="Verdana"/>
          </rPr>
          <t>CRTC Broadcast Policy Monitoring Report, 2000, p. 37.</t>
        </r>
      </text>
    </comment>
    <comment ref="H20" authorId="0">
      <text>
        <r>
          <rPr>
            <sz val="10"/>
            <color rgb="FF000000"/>
            <rFont val="Verdana"/>
          </rPr>
          <t>CRTC Broadcasting Policy Monitoring Report 2004, p. 60.</t>
        </r>
      </text>
    </comment>
    <comment ref="I20" authorId="0">
      <text>
        <r>
          <rPr>
            <sz val="10"/>
            <color rgb="FF000000"/>
            <rFont val="Verdana"/>
          </rPr>
          <t xml:space="preserve">Canwest AR 2005, p. 15 - pay and specialty TV revenues as stated in CRTC Individual Pay and Specialty TV Fin Sums. </t>
        </r>
      </text>
    </comment>
    <comment ref="J20" authorId="0">
      <text>
        <r>
          <rPr>
            <sz val="10"/>
            <color rgb="FF000000"/>
            <rFont val="Verdana"/>
          </rPr>
          <t>Canwest AR 2009, p. 13 - pay and specialty TV revenues as stated in CRTC Individual Pay and Specialty TV Fin Sums.</t>
        </r>
      </text>
    </comment>
    <comment ref="G21" authorId="0">
      <text>
        <r>
          <rPr>
            <sz val="10"/>
            <color rgb="FF000000"/>
            <rFont val="Verdana"/>
          </rPr>
          <t xml:space="preserve">WIC, AR 1998. </t>
        </r>
      </text>
    </comment>
    <comment ref="J22" authorId="0">
      <text>
        <r>
          <rPr>
            <sz val="10"/>
            <color rgb="FF000000"/>
            <rFont val="Verdana"/>
          </rPr>
          <t xml:space="preserve">LR:
CRTC Rogers TV Aggregate Annual Returns, 2008
</t>
        </r>
      </text>
    </comment>
    <comment ref="K22" authorId="0">
      <text>
        <r>
          <rPr>
            <sz val="10"/>
            <color rgb="FF000000"/>
            <rFont val="Verdana"/>
          </rPr>
          <t xml:space="preserve">LR:
CRTC Rogers TV Aggregate Annual Returns, 2010
</t>
        </r>
      </text>
    </comment>
    <comment ref="L22" authorId="0">
      <text>
        <r>
          <rPr>
            <sz val="10"/>
            <color rgb="FF000000"/>
            <rFont val="Verdana"/>
          </rPr>
          <t>LR:
CRTC Rgoers TV Aggregate Annual Returns, 2011</t>
        </r>
      </text>
    </comment>
    <comment ref="M22" authorId="0">
      <text>
        <r>
          <rPr>
            <sz val="10"/>
            <color rgb="FF000000"/>
            <rFont val="Verdana"/>
          </rPr>
          <t>LR:
CRTC Rogers TV Aggregate Annual Returns, 2012</t>
        </r>
      </text>
    </comment>
    <comment ref="N22" authorId="0">
      <text>
        <r>
          <rPr>
            <sz val="10"/>
            <color rgb="FF000000"/>
            <rFont val="Verdana"/>
          </rPr>
          <t>LR:
CRTC Rogers TV Aggregate Annual Returns, 2013</t>
        </r>
      </text>
    </comment>
    <comment ref="O22" authorId="0">
      <text>
        <r>
          <rPr>
            <sz val="10"/>
            <color rgb="FF000000"/>
            <rFont val="Verdana"/>
          </rPr>
          <t>CRTC Rogers TV Aggregate Annual Returns, 2014.</t>
        </r>
      </text>
    </comment>
    <comment ref="B23" authorId="0">
      <text>
        <r>
          <rPr>
            <sz val="10"/>
            <color rgb="FF000000"/>
            <rFont val="Verdana"/>
          </rPr>
          <t>Maclean Hunter AR 1991, p. 65. TV and Radio revenues split 2/3rds and 1/3rd, respectively.</t>
        </r>
      </text>
    </comment>
    <comment ref="C23" authorId="0">
      <text>
        <r>
          <rPr>
            <sz val="10"/>
            <color rgb="FF000000"/>
            <rFont val="Verdana"/>
          </rPr>
          <t>Maclean Hunter AR 1991, p. 65. TV and Radio revenues split 2/3rds and 1/3rd, respectively.</t>
        </r>
      </text>
    </comment>
    <comment ref="D23" authorId="0">
      <text>
        <r>
          <rPr>
            <sz val="10"/>
            <color rgb="FF000000"/>
            <rFont val="Verdana"/>
          </rPr>
          <t>Maclean Hunter AR 1991, p. 65. TV and Radio revenues split 2/3rds and 1/3rd, respectively.</t>
        </r>
      </text>
    </comment>
    <comment ref="B24" authorId="0">
      <text>
        <r>
          <rPr>
            <sz val="10"/>
            <color rgb="FF000000"/>
            <rFont val="Verdana"/>
          </rPr>
          <t>Selkirk AR 1985, p. 26.</t>
        </r>
      </text>
    </comment>
    <comment ref="C24" authorId="0">
      <text>
        <r>
          <rPr>
            <sz val="10"/>
            <color rgb="FF000000"/>
            <rFont val="Verdana"/>
          </rPr>
          <t xml:space="preserve">Selkirk, AR 1988, np (segmented info). Broadcast revenue split between tv and radio in same proportion as 1984, when both segments were identified separately, i.e. 79.8% / 20.2%. 
</t>
        </r>
      </text>
    </comment>
    <comment ref="H25" authorId="0">
      <text>
        <r>
          <rPr>
            <sz val="10"/>
            <color rgb="FF000000"/>
            <rFont val="Verdana"/>
          </rPr>
          <t xml:space="preserve">TVA Groupe Annual Report 2000, p. 72. 
</t>
        </r>
      </text>
    </comment>
    <comment ref="I25" authorId="0">
      <text>
        <r>
          <rPr>
            <sz val="10"/>
            <color rgb="FF000000"/>
            <rFont val="Verdana"/>
          </rPr>
          <t xml:space="preserve">Groupe TVA Consolidated Financial Report 2005, p. 63 minus Specialty and Pay TV revenues as derived from CRTC's Individual Pay and Specialty Fin Sums.  </t>
        </r>
      </text>
    </comment>
    <comment ref="J25" authorId="0">
      <text>
        <r>
          <rPr>
            <sz val="10"/>
            <color rgb="FF000000"/>
            <rFont val="Verdana"/>
          </rPr>
          <t xml:space="preserve">Quebecor, Annual Info Form, p. A2 minus Specialty and Pay TV revenues as derived from CRTC's Individual Pay and Specialty Fin Sums.  </t>
        </r>
      </text>
    </comment>
    <comment ref="K25" authorId="0">
      <text>
        <r>
          <rPr>
            <sz val="10"/>
            <color rgb="FF000000"/>
            <rFont val="Verdana"/>
          </rPr>
          <t xml:space="preserve">Groupe TVA Consolidated Financial Report 2010, p. 66 minus Specialty and Pay TV revenues as derived from CRTC's Individual Pay and Specialty Fin Sums.  
</t>
        </r>
      </text>
    </comment>
    <comment ref="L25" authorId="0">
      <text>
        <r>
          <rPr>
            <sz val="10"/>
            <color rgb="FF000000"/>
            <rFont val="Verdana"/>
          </rPr>
          <t xml:space="preserve">Groupe TVA Consolidated Financial Report 2012, p. 54 minus Specialty and Pay TV revenues as derived from CRTC's Individual Pay and Specialty Fin Sums.  
</t>
        </r>
      </text>
    </comment>
    <comment ref="M25" authorId="0">
      <text>
        <r>
          <rPr>
            <sz val="10"/>
            <color rgb="FF000000"/>
            <rFont val="Verdana"/>
          </rPr>
          <t xml:space="preserve">Groupe TVA Consolidated Financial Report 2012, p. 57 minus Specialty and Pay TV revenues as derived from CRTC's Individual Pay and Specialty Fin Sums.  </t>
        </r>
      </text>
    </comment>
    <comment ref="N25" authorId="0">
      <text>
        <r>
          <rPr>
            <sz val="10"/>
            <color rgb="FF000000"/>
            <rFont val="Verdana"/>
          </rPr>
          <t xml:space="preserve">Groupe TVA Consolidated Financial Report 2013, p. 56 minus Specialty and Pay TV revenues as derived from CRTC's Individual Pay and Specialty Fin Sums.  </t>
        </r>
      </text>
    </comment>
    <comment ref="O25" authorId="0">
      <text>
        <r>
          <rPr>
            <sz val="10"/>
            <color rgb="FF000000"/>
            <rFont val="Verdana"/>
          </rPr>
          <t>CRTC Quebecor TV Aggregate Annual Returns, 2014.</t>
        </r>
      </text>
    </comment>
    <comment ref="B26" authorId="0">
      <text>
        <r>
          <rPr>
            <sz val="10"/>
            <color rgb="FF000000"/>
            <rFont val="Verdana"/>
          </rPr>
          <t>FP Infomart TVA Group Inc. Profile, p. 9.</t>
        </r>
      </text>
    </comment>
    <comment ref="C26" authorId="0">
      <text>
        <r>
          <rPr>
            <sz val="10"/>
            <color rgb="FF000000"/>
            <rFont val="Verdana"/>
          </rPr>
          <t>TeleMetropole AR 1989, p. 16.</t>
        </r>
      </text>
    </comment>
    <comment ref="D26" authorId="0">
      <text>
        <r>
          <rPr>
            <sz val="10"/>
            <color rgb="FF000000"/>
            <rFont val="Verdana"/>
          </rPr>
          <t>TeleMetropole AR 1993, p. 12.</t>
        </r>
      </text>
    </comment>
    <comment ref="E26" authorId="0">
      <text>
        <r>
          <rPr>
            <sz val="10"/>
            <color rgb="FF000000"/>
            <rFont val="Verdana"/>
          </rPr>
          <t>TeleMetropole AR 1993, p. 12.</t>
        </r>
      </text>
    </comment>
    <comment ref="F26" authorId="0">
      <text>
        <r>
          <rPr>
            <sz val="10"/>
            <color rgb="FF000000"/>
            <rFont val="Verdana"/>
          </rPr>
          <t>Groupe TVA, Annual Report 1997, p. 33.</t>
        </r>
      </text>
    </comment>
    <comment ref="G26" authorId="0">
      <text>
        <r>
          <rPr>
            <sz val="10"/>
            <color rgb="FF000000"/>
            <rFont val="Verdana"/>
          </rPr>
          <t>TVA Annual Report 1999, p. 39.</t>
        </r>
      </text>
    </comment>
    <comment ref="J29" authorId="0">
      <text>
        <r>
          <rPr>
            <sz val="10"/>
            <color rgb="FF000000"/>
            <rFont val="Verdana"/>
          </rPr>
          <t xml:space="preserve">LR:
CRTC Remstar TV Aggregate Annual Returns, 2008
</t>
        </r>
      </text>
    </comment>
    <comment ref="K29" authorId="0">
      <text>
        <r>
          <rPr>
            <sz val="10"/>
            <color rgb="FF000000"/>
            <rFont val="Verdana"/>
          </rPr>
          <t>LR:
CRTC Remstar TV Aggregate Annual Returns, 2010</t>
        </r>
      </text>
    </comment>
    <comment ref="L29" authorId="0">
      <text>
        <r>
          <rPr>
            <sz val="10"/>
            <color rgb="FF000000"/>
            <rFont val="Verdana"/>
          </rPr>
          <t xml:space="preserve">LR:
CRTC Remstar Aggregate Annual Returns, 2011
</t>
        </r>
      </text>
    </comment>
    <comment ref="M29" authorId="0">
      <text>
        <r>
          <rPr>
            <sz val="10"/>
            <color rgb="FF000000"/>
            <rFont val="Verdana"/>
          </rPr>
          <t>LR:
CTRC V Interactions TV Aggregate Annual Returns, 2012</t>
        </r>
      </text>
    </comment>
    <comment ref="N29" authorId="0">
      <text>
        <r>
          <rPr>
            <sz val="10"/>
            <color rgb="FF000000"/>
            <rFont val="Verdana"/>
          </rPr>
          <t>LR:
CTRC V Interactions TV Aggregate Annual Returns, 2013</t>
        </r>
      </text>
    </comment>
    <comment ref="O29" authorId="0">
      <text>
        <r>
          <rPr>
            <sz val="10"/>
            <color rgb="FF000000"/>
            <rFont val="Verdana"/>
          </rPr>
          <t xml:space="preserve">Remstar TV CTRC Aggregate Annual Report, 2014
</t>
        </r>
      </text>
    </comment>
    <comment ref="I30" authorId="0">
      <text>
        <r>
          <rPr>
            <sz val="10"/>
            <color rgb="FF000000"/>
            <rFont val="Verdana"/>
          </rPr>
          <t>CRTC, BPMR, p. 64.</t>
        </r>
      </text>
    </comment>
    <comment ref="B32" authorId="0">
      <text>
        <r>
          <rPr>
            <sz val="10"/>
            <color rgb="FF000000"/>
            <rFont val="Verdana"/>
          </rPr>
          <t>CFCF, AR 1985, np.</t>
        </r>
      </text>
    </comment>
    <comment ref="C32" authorId="0">
      <text>
        <r>
          <rPr>
            <sz val="10"/>
            <color rgb="FF000000"/>
            <rFont val="Verdana"/>
          </rPr>
          <t>CFCF, AR 1993, p. 12.</t>
        </r>
      </text>
    </comment>
    <comment ref="D32" authorId="0">
      <text>
        <r>
          <rPr>
            <sz val="10"/>
            <color rgb="FF000000"/>
            <rFont val="Verdana"/>
          </rPr>
          <t>CFCF, AR 1993, p. 12.</t>
        </r>
      </text>
    </comment>
    <comment ref="E32" authorId="0">
      <text>
        <r>
          <rPr>
            <sz val="10"/>
            <color rgb="FF000000"/>
            <rFont val="Verdana"/>
          </rPr>
          <t>CFCF, AR 1993, p. 7.</t>
        </r>
      </text>
    </comment>
    <comment ref="N33" authorId="0">
      <text>
        <r>
          <rPr>
            <sz val="10"/>
            <color rgb="FF000000"/>
            <rFont val="Verdana"/>
          </rPr>
          <t>Estimate based on .5% average y-o-y revenue decline for conventional TV between 2011 and 2012 CRTC, CMR 2013, p. 90.</t>
        </r>
      </text>
    </comment>
    <comment ref="O33" authorId="0">
      <text>
        <r>
          <rPr>
            <sz val="10"/>
            <color rgb="FF000000"/>
            <rFont val="Verdana"/>
          </rPr>
          <t>Estimate based on 0.5% average y-o-y revenue decline for conventional TV between 2012 and 2013 CRTC, CMR 2014, p. 73.</t>
        </r>
      </text>
    </comment>
    <comment ref="N34" authorId="0">
      <text>
        <r>
          <rPr>
            <sz val="10"/>
            <color rgb="FF000000"/>
            <rFont val="Verdana"/>
          </rPr>
          <t>Estimate based on .5% average y-o-y revenue decline for conventional TV between 2011 and 2012 CRTC, CMR 2013, p. 90.</t>
        </r>
      </text>
    </comment>
    <comment ref="O34" authorId="0">
      <text>
        <r>
          <rPr>
            <sz val="10"/>
            <color rgb="FF000000"/>
            <rFont val="Verdana"/>
          </rPr>
          <t xml:space="preserve">Estimate based on 0.5% average y-o-y revenue decline for conventional TV between 2012 and 2013 CRTC, CMR 2014, p. 73.
</t>
        </r>
      </text>
    </comment>
    <comment ref="E35" authorId="0">
      <text>
        <r>
          <rPr>
            <sz val="10"/>
            <color rgb="FF000000"/>
            <rFont val="Verdana"/>
          </rPr>
          <t xml:space="preserve">Okanagan Skeena Group, AR 1992, p.5. Estimate based on even splt of broadcast revenue between radio and tv. </t>
        </r>
      </text>
    </comment>
    <comment ref="F35" authorId="0">
      <text>
        <r>
          <rPr>
            <sz val="10"/>
            <color rgb="FF000000"/>
            <rFont val="Verdana"/>
          </rPr>
          <t xml:space="preserve">Okanagan Skeena Group, AR 1992, p.5. Estimate based on even splt of broadcast revenue between radio and tv. </t>
        </r>
      </text>
    </comment>
    <comment ref="G35" authorId="0">
      <text>
        <r>
          <rPr>
            <sz val="10"/>
            <color rgb="FF000000"/>
            <rFont val="Verdana"/>
          </rPr>
          <t xml:space="preserve">Okanagan Skeena Group, AR 1992, p.5. Estimate based on even splt of broadcast revenue between radio and tv. </t>
        </r>
      </text>
    </comment>
    <comment ref="A37" authorId="0">
      <text>
        <r>
          <rPr>
            <sz val="10"/>
            <color rgb="FF000000"/>
            <rFont val="Verdana"/>
          </rPr>
          <t>Source: Statistics Canada: Table 3570001 - Television broadcasting industry, by North American Industry Classification System (NAICS), annually (V80997 Canada; Operating revenue, total; Private conventional television(1976 to 2013, Data: 38)</t>
        </r>
      </text>
    </comment>
    <comment ref="N37" authorId="0">
      <text>
        <r>
          <rPr>
            <sz val="10"/>
            <color rgb="FF000000"/>
            <rFont val="Verdana"/>
          </rPr>
          <t>CRTC 2014 CMR, p. 70.</t>
        </r>
      </text>
    </comment>
    <comment ref="O37" authorId="0">
      <text>
        <r>
          <rPr>
            <sz val="10"/>
            <color rgb="FF000000"/>
            <rFont val="Verdana"/>
          </rPr>
          <t>CRTC Conventional TV Financial Summary, 2010-2014.</t>
        </r>
      </text>
    </comment>
  </commentList>
</comments>
</file>

<file path=xl/comments9.xml><?xml version="1.0" encoding="utf-8"?>
<comments xmlns="http://schemas.openxmlformats.org/spreadsheetml/2006/main">
  <authors>
    <author/>
  </authors>
  <commentList>
    <comment ref="J3" authorId="0">
      <text>
        <r>
          <rPr>
            <sz val="10"/>
            <color rgb="FF000000"/>
            <rFont val="Verdana"/>
          </rPr>
          <t>CRTC Spec &amp; Pay TV Fin Sums, 2008-2012.</t>
        </r>
      </text>
    </comment>
    <comment ref="K3" authorId="0">
      <text>
        <r>
          <rPr>
            <sz val="10"/>
            <color rgb="FF000000"/>
            <rFont val="Verdana"/>
          </rPr>
          <t>CRTC Spec &amp; Pay TV Fin Sums, 2008-2012.</t>
        </r>
      </text>
    </comment>
    <comment ref="L3" authorId="0">
      <text>
        <r>
          <rPr>
            <sz val="10"/>
            <color rgb="FF000000"/>
            <rFont val="Verdana"/>
          </rPr>
          <t xml:space="preserve">
Bell Annual Report, 2012; Supplemental Brief, p. 30; Goldstein, 2013, p. 5-6, 9</t>
        </r>
      </text>
    </comment>
    <comment ref="M3" authorId="0">
      <text>
        <r>
          <rPr>
            <sz val="10"/>
            <color rgb="FF000000"/>
            <rFont val="Verdana"/>
          </rPr>
          <t>Bell Annual Report, 2012; Supplemental Brief, p. 30; Goldstein, 2013, p. 5-6, 9</t>
        </r>
      </text>
    </comment>
    <comment ref="N3" authorId="0">
      <text>
        <r>
          <rPr>
            <sz val="10"/>
            <color rgb="FF000000"/>
            <rFont val="Verdana"/>
          </rPr>
          <t xml:space="preserve">CRTC BCE Pay &amp; Specialty Services Financial Summary (English + French), 2013. See Endnote 2, below. </t>
        </r>
      </text>
    </comment>
    <comment ref="O3" authorId="0">
      <text>
        <r>
          <rPr>
            <sz val="10"/>
            <color rgb="FF000000"/>
            <rFont val="Verdana"/>
          </rPr>
          <t xml:space="preserve">CRTC BCE Pay &amp; Specialty Services Financial Summary (English + French), 2014. </t>
        </r>
      </text>
    </comment>
    <comment ref="H4" authorId="0">
      <text>
        <r>
          <rPr>
            <sz val="10"/>
            <color rgb="FF000000"/>
            <rFont val="Verdana"/>
          </rPr>
          <t>LR:
Astral Annual Report, 2000, p.21</t>
        </r>
      </text>
    </comment>
    <comment ref="I4" authorId="0">
      <text>
        <r>
          <rPr>
            <sz val="10"/>
            <color rgb="FF000000"/>
            <rFont val="Verdana"/>
          </rPr>
          <t>LR:
Astral Annual Report, 2004, p. 44</t>
        </r>
      </text>
    </comment>
    <comment ref="J4" authorId="0">
      <text>
        <r>
          <rPr>
            <sz val="10"/>
            <color rgb="FF000000"/>
            <rFont val="Verdana"/>
          </rPr>
          <t>LR:
Astral Annual Report, 2009, p.18</t>
        </r>
      </text>
    </comment>
    <comment ref="K4" authorId="0">
      <text>
        <r>
          <rPr>
            <sz val="10"/>
            <color rgb="FF000000"/>
            <rFont val="Verdana"/>
          </rPr>
          <t>LR:
PWC, Astral Valuation Abridged, 2012, p.52</t>
        </r>
      </text>
    </comment>
    <comment ref="L4" authorId="0">
      <text>
        <r>
          <rPr>
            <sz val="10"/>
            <color rgb="FF000000"/>
            <rFont val="Verdana"/>
          </rPr>
          <t>LR:
PWC, Astral Valuation Abridged, 2012, p.25, excludes Astral's in-house advertising and online divisions PWC Astral Valuation Abridged, p.45</t>
        </r>
      </text>
    </comment>
    <comment ref="M4" authorId="0">
      <text>
        <r>
          <rPr>
            <sz val="10"/>
            <color rgb="FF000000"/>
            <rFont val="Verdana"/>
          </rPr>
          <t>LR:
PWC, Astral Valuation Abridged, 2012, p.25, excludes Astral's in-house advertising and online divisions PWC Astral Valuation Abridged, p.45</t>
        </r>
      </text>
    </comment>
    <comment ref="J5" authorId="0">
      <text>
        <r>
          <rPr>
            <sz val="10"/>
            <color rgb="FF000000"/>
            <rFont val="Verdana"/>
          </rPr>
          <t>CRTC Spec &amp; Pay TV Fin Sums, 2008-2012.</t>
        </r>
      </text>
    </comment>
    <comment ref="K5" authorId="0">
      <text>
        <r>
          <rPr>
            <sz val="10"/>
            <color rgb="FF000000"/>
            <rFont val="Verdana"/>
          </rPr>
          <t>CRTC Spec &amp; Pay TV Fin Sums, 2008-2012.</t>
        </r>
      </text>
    </comment>
    <comment ref="I6" authorId="0">
      <text>
        <r>
          <rPr>
            <sz val="10"/>
            <color rgb="FF000000"/>
            <rFont val="Verdana"/>
          </rPr>
          <t>CRTC Spec &amp; Pay TV Fin Sums, 2004-2008.</t>
        </r>
      </text>
    </comment>
    <comment ref="G7" authorId="0">
      <text>
        <r>
          <rPr>
            <sz val="10"/>
            <color rgb="FF000000"/>
            <rFont val="Verdana"/>
          </rPr>
          <t>CRTC Individual Spec &amp; Pay TV Fin Sums, 1998-2002</t>
        </r>
      </text>
    </comment>
    <comment ref="H7" authorId="0">
      <text>
        <r>
          <rPr>
            <sz val="10"/>
            <color rgb="FF000000"/>
            <rFont val="Verdana"/>
          </rPr>
          <t>CRTC Individual Spec &amp; Pay TV Fin Sums, 2000-2004.</t>
        </r>
      </text>
    </comment>
    <comment ref="I7" authorId="0">
      <text>
        <r>
          <rPr>
            <sz val="10"/>
            <color rgb="FF000000"/>
            <rFont val="Verdana"/>
          </rPr>
          <t>CRTC Individual Spec &amp; Pay TV Fin Sums, 2000-2004.</t>
        </r>
      </text>
    </comment>
    <comment ref="G8" authorId="0">
      <text>
        <r>
          <rPr>
            <sz val="10"/>
            <color rgb="FF000000"/>
            <rFont val="Verdana"/>
          </rPr>
          <t>CRTC, Individual Pay &amp; Spec. TV Fin Sums, 1998-2002.</t>
        </r>
      </text>
    </comment>
    <comment ref="H8" authorId="0">
      <text>
        <r>
          <rPr>
            <sz val="10"/>
            <color rgb="FF000000"/>
            <rFont val="Verdana"/>
          </rPr>
          <t>CRTC, Individual Pay &amp; Spec. TV Fin Sums, 1998-2002.</t>
        </r>
      </text>
    </comment>
    <comment ref="I11" authorId="0">
      <text>
        <r>
          <rPr>
            <sz val="10"/>
            <color rgb="FF000000"/>
            <rFont val="Verdana"/>
          </rPr>
          <t>LR:
CRTC Individual Pay, Pay-Per-View, Video-on-Deman and Specialty Services Financial Summaries, 2004-2008</t>
        </r>
      </text>
    </comment>
    <comment ref="J11" authorId="0">
      <text>
        <r>
          <rPr>
            <sz val="10"/>
            <color rgb="FF000000"/>
            <rFont val="Verdana"/>
          </rPr>
          <t>LR:
CRTC Individual Pay, Pay-Per-View, Video-on-Deman and Specialty Services Financial Summaries, 2008-2012</t>
        </r>
      </text>
    </comment>
    <comment ref="K11" authorId="0">
      <text>
        <r>
          <rPr>
            <sz val="10"/>
            <color rgb="FF000000"/>
            <rFont val="Verdana"/>
          </rPr>
          <t>LR:
CRTC Individual Pay, Pay-Per-View, Video-on-Deman and Specialty Services Financial Summaries, 2008-2012</t>
        </r>
      </text>
    </comment>
    <comment ref="L11" authorId="0">
      <text>
        <r>
          <rPr>
            <sz val="10"/>
            <color rgb="FF000000"/>
            <rFont val="Verdana"/>
          </rPr>
          <t>LR:
CRTC Individual Pay, Pay-Per-View, Video-on-Deman and Specialty Services Financial Summaries, 2008-2012</t>
        </r>
      </text>
    </comment>
    <comment ref="M11" authorId="0">
      <text>
        <r>
          <rPr>
            <sz val="10"/>
            <color rgb="FF000000"/>
            <rFont val="Verdana"/>
          </rPr>
          <t>LR:
CRTC Individual Pay, Pay-Per-View, Video-on-Deman and Specialty Services Financial Summaries, 2008-2012</t>
        </r>
      </text>
    </comment>
    <comment ref="N11" authorId="0">
      <text>
        <r>
          <rPr>
            <sz val="10"/>
            <color rgb="FF000000"/>
            <rFont val="Verdana"/>
          </rPr>
          <t>CRTC, Individual Pay &amp; Spec Fin Sum, 2009-2013, after allocating revenue according to company's ownership stake in services as indicated in the CRTC's CMR 2013.</t>
        </r>
      </text>
    </comment>
    <comment ref="O11" authorId="0">
      <text>
        <r>
          <rPr>
            <sz val="10"/>
            <color rgb="FF000000"/>
            <rFont val="Verdana"/>
          </rPr>
          <t>CRTC, Individual Pay &amp; Spec Fin Sum, 2009-2014, after allocating revenue according to company's ownership stake in services as indicated in the CRTC's CMR 2013.</t>
        </r>
      </text>
    </comment>
    <comment ref="H12" authorId="0">
      <text>
        <r>
          <rPr>
            <sz val="10"/>
            <color rgb="FF000000"/>
            <rFont val="Verdana"/>
          </rPr>
          <t xml:space="preserve">Corus, AR 2001, p. 13.
</t>
        </r>
      </text>
    </comment>
    <comment ref="I12" authorId="0">
      <text>
        <r>
          <rPr>
            <sz val="10"/>
            <color rgb="FF000000"/>
            <rFont val="Verdana"/>
          </rPr>
          <t xml:space="preserve">LR:
Corus Annual Report 2005, p. 25 minus an estimate of $20.4 million for its 3 conventinal tv stations. </t>
        </r>
      </text>
    </comment>
    <comment ref="J12" authorId="0">
      <text>
        <r>
          <rPr>
            <sz val="10"/>
            <color rgb="FF000000"/>
            <rFont val="Verdana"/>
          </rPr>
          <t>CRTC Individual Pay, Pay-Per-View, Video-on-Deman and Specialty Services Financial Summaries, 2008-2012</t>
        </r>
      </text>
    </comment>
    <comment ref="K12" authorId="0">
      <text>
        <r>
          <rPr>
            <sz val="10"/>
            <color rgb="FF000000"/>
            <rFont val="Verdana"/>
          </rPr>
          <t>CRTC Individual Pay, Pay-Per-View, Video-on-Deman and Specialty Services Financial Summaries, 2008-2012</t>
        </r>
      </text>
    </comment>
    <comment ref="L12" authorId="0">
      <text>
        <r>
          <rPr>
            <sz val="10"/>
            <color rgb="FF000000"/>
            <rFont val="Verdana"/>
          </rPr>
          <t>CRTC Individual Pay, Pay-Per-View, Video-on-Deman and Specialty Services Financial Summaries, 2008-2012</t>
        </r>
      </text>
    </comment>
    <comment ref="M12" authorId="0">
      <text>
        <r>
          <rPr>
            <sz val="10"/>
            <color rgb="FF000000"/>
            <rFont val="Verdana"/>
          </rPr>
          <t>CRTC Individual Pay, Pay-Per-View, Video-on-Deman and Specialty Services Financial Summaries, 2008-2012</t>
        </r>
      </text>
    </comment>
    <comment ref="N12" authorId="0">
      <text>
        <r>
          <rPr>
            <sz val="10"/>
            <color rgb="FF000000"/>
            <rFont val="Verdana"/>
          </rPr>
          <t>CRTC, Individual Pay &amp; Spec Fin Sum, 2009-2013, after allocating revenue according to company's ownership stake in services as indicated in the CRTC's CMR 2013.</t>
        </r>
      </text>
    </comment>
    <comment ref="O12" authorId="0">
      <text>
        <r>
          <rPr>
            <sz val="10"/>
            <color rgb="FF000000"/>
            <rFont val="Verdana"/>
          </rPr>
          <t>CRTC, Individual Pay &amp; Spec Fin Sum, 2009-2014, after allocating revenue according to company's ownership stake in services as indicated in the CRTC's CMR 2013.</t>
        </r>
      </text>
    </comment>
    <comment ref="H13" authorId="0">
      <text>
        <r>
          <rPr>
            <sz val="10"/>
            <color rgb="FF000000"/>
            <rFont val="Verdana"/>
          </rPr>
          <t>Incldudes Prime and 50% stake in RobTV acquired from WIC. CRTC Ind Pay &amp; Specialty TV Fin Sums, 1998-2002.</t>
        </r>
      </text>
    </comment>
    <comment ref="I13" authorId="0">
      <text>
        <r>
          <rPr>
            <sz val="10"/>
            <color rgb="FF000000"/>
            <rFont val="Verdana"/>
          </rPr>
          <t>CRTC Ind Pay &amp; Specialty TV Fin Sums, 2000-2004.</t>
        </r>
      </text>
    </comment>
    <comment ref="J13" authorId="0">
      <text>
        <r>
          <rPr>
            <sz val="10"/>
            <color rgb="FF000000"/>
            <rFont val="Verdana"/>
          </rPr>
          <t>CRTC, Individual Pay &amp; Specialty TV Fin Sums, 2008-2012.</t>
        </r>
      </text>
    </comment>
    <comment ref="F15" authorId="0">
      <text>
        <r>
          <rPr>
            <sz val="10"/>
            <color rgb="FF000000"/>
            <rFont val="Verdana"/>
          </rPr>
          <t>WIC, AR 1996.</t>
        </r>
      </text>
    </comment>
    <comment ref="G15" authorId="0">
      <text>
        <r>
          <rPr>
            <sz val="10"/>
            <color rgb="FF000000"/>
            <rFont val="Verdana"/>
          </rPr>
          <t>CRTC Ind Pay &amp; Specialty TV Fin Sums, 1998-2002.</t>
        </r>
      </text>
    </comment>
    <comment ref="B18" authorId="0">
      <text>
        <r>
          <rPr>
            <sz val="10"/>
            <color rgb="FF000000"/>
            <rFont val="Verdana"/>
          </rPr>
          <t xml:space="preserve">Rogers Cablesystems AR 1984, np. States figure of $93.1 million, but that does not seem to align with how the sector was defined. </t>
        </r>
      </text>
    </comment>
    <comment ref="C18" authorId="0">
      <text>
        <r>
          <rPr>
            <sz val="10"/>
            <color rgb="FF000000"/>
            <rFont val="Verdana"/>
          </rPr>
          <t>Rogers AR 1989, p. 30.</t>
        </r>
      </text>
    </comment>
    <comment ref="E18" authorId="0">
      <text>
        <r>
          <rPr>
            <sz val="10"/>
            <color rgb="FF000000"/>
            <rFont val="Verdana"/>
          </rPr>
          <t>Rogers AR 1992, p. 8.</t>
        </r>
      </text>
    </comment>
    <comment ref="I18" authorId="0">
      <text>
        <r>
          <rPr>
            <sz val="10"/>
            <color rgb="FF000000"/>
            <rFont val="Verdana"/>
          </rPr>
          <t>CRTC Individual pay, pay-per-view, video-on-demand of specialty services, 2004-2008.</t>
        </r>
      </text>
    </comment>
    <comment ref="J18" authorId="0">
      <text>
        <r>
          <rPr>
            <sz val="10"/>
            <color rgb="FF000000"/>
            <rFont val="Verdana"/>
          </rPr>
          <t>CRTC Individual pay, pay-per-view, video-on-demand of specialty services, 2004-2008.</t>
        </r>
      </text>
    </comment>
    <comment ref="K18" authorId="0">
      <text>
        <r>
          <rPr>
            <sz val="10"/>
            <color rgb="FF000000"/>
            <rFont val="Verdana"/>
          </rPr>
          <t>CRTC, Individual Pay &amp; Spec Fin Sum, 2009-2013, after allocating revenue according to company's ownership stake in services as indicated in the CRTC's CMR 2013.</t>
        </r>
      </text>
    </comment>
    <comment ref="L18" authorId="0">
      <text>
        <r>
          <rPr>
            <sz val="10"/>
            <color rgb="FF000000"/>
            <rFont val="Verdana"/>
          </rPr>
          <t>CRTC, Individual Pay &amp; Spec Fin Sum, 2009-2013, after allocating revenue according to company's ownership stake in services as indicated in the CRTC's CMR 2013.</t>
        </r>
      </text>
    </comment>
    <comment ref="M18" authorId="0">
      <text>
        <r>
          <rPr>
            <sz val="10"/>
            <color rgb="FF000000"/>
            <rFont val="Verdana"/>
          </rPr>
          <t>CRTC, Individual Pay &amp; Spec Fin Sum, 2009-2013, after allocating revenue according to company's ownership stake in services as indicated in the CRTC's CMR 2013.</t>
        </r>
      </text>
    </comment>
    <comment ref="N18" authorId="0">
      <text>
        <r>
          <rPr>
            <sz val="10"/>
            <color rgb="FF000000"/>
            <rFont val="Verdana"/>
          </rPr>
          <t xml:space="preserve">CRTC, Individual Pay &amp; Spec Fin Sum, 2009-2013, after allocating revenue according to company's ownership stake in services as indicated in the CRTC's CMR 2013.
</t>
        </r>
      </text>
    </comment>
    <comment ref="O18" authorId="0">
      <text>
        <r>
          <rPr>
            <sz val="10"/>
            <color rgb="FF000000"/>
            <rFont val="Verdana"/>
          </rPr>
          <t>CRTC Rogers TV Aggregate Annual Returns, 2014.</t>
        </r>
      </text>
    </comment>
    <comment ref="H19" authorId="0">
      <text>
        <r>
          <rPr>
            <sz val="10"/>
            <color rgb="FF000000"/>
            <rFont val="Verdana"/>
          </rPr>
          <t>CBC, AR 2000-2001, p. 45.</t>
        </r>
      </text>
    </comment>
    <comment ref="I19" authorId="0">
      <text>
        <r>
          <rPr>
            <sz val="10"/>
            <color rgb="FF000000"/>
            <rFont val="Verdana"/>
          </rPr>
          <t xml:space="preserve">LR:
CRTC Individual pay, pay-per-view, video-on-demand of specialty services, 2004-2008.
</t>
        </r>
      </text>
    </comment>
    <comment ref="J19" authorId="0">
      <text>
        <r>
          <rPr>
            <sz val="10"/>
            <color rgb="FF000000"/>
            <rFont val="Verdana"/>
          </rPr>
          <t>CRTC Individual pay, pay-per-view, video-on-demand of specialty services, 2004-2008.</t>
        </r>
      </text>
    </comment>
    <comment ref="K19" authorId="0">
      <text>
        <r>
          <rPr>
            <sz val="10"/>
            <color rgb="FF000000"/>
            <rFont val="Verdana"/>
          </rPr>
          <t>CRTC Individual pay, pay-per-view, video-on-demand of specialty services, 2004-2008.</t>
        </r>
      </text>
    </comment>
    <comment ref="L19" authorId="0">
      <text>
        <r>
          <rPr>
            <sz val="10"/>
            <color rgb="FF000000"/>
            <rFont val="Verdana"/>
          </rPr>
          <t>CBC Annual Report, 2012 p.77.</t>
        </r>
      </text>
    </comment>
    <comment ref="M19" authorId="0">
      <text>
        <r>
          <rPr>
            <sz val="10"/>
            <color rgb="FF000000"/>
            <rFont val="Verdana"/>
          </rPr>
          <t>CRTC, Individual Pay &amp; Spec Fin Sum, 2009-2013.</t>
        </r>
      </text>
    </comment>
    <comment ref="N19" authorId="0">
      <text>
        <r>
          <rPr>
            <sz val="10"/>
            <color rgb="FF000000"/>
            <rFont val="Verdana"/>
          </rPr>
          <t>CRTC, Individual Pay &amp; Spec Fin Sum, 2009-2013.</t>
        </r>
      </text>
    </comment>
    <comment ref="O19" authorId="0">
      <text>
        <r>
          <rPr>
            <sz val="10"/>
            <color rgb="FF000000"/>
            <rFont val="Verdana"/>
          </rPr>
          <t>CRTC CBC TV Aggregate Annual Return, 2014.</t>
        </r>
      </text>
    </comment>
    <comment ref="I20" authorId="0">
      <text>
        <r>
          <rPr>
            <sz val="10"/>
            <color rgb="FF000000"/>
            <rFont val="Verdana"/>
          </rPr>
          <t>Individual Pay &amp; Spec Fin Sum.</t>
        </r>
      </text>
    </comment>
    <comment ref="J20" authorId="0">
      <text>
        <r>
          <rPr>
            <sz val="10"/>
            <color rgb="FF000000"/>
            <rFont val="Verdana"/>
          </rPr>
          <t>Individual Pay &amp; Spec Fin Sum, 2013,</t>
        </r>
      </text>
    </comment>
    <comment ref="K20" authorId="0">
      <text>
        <r>
          <rPr>
            <sz val="10"/>
            <color rgb="FF000000"/>
            <rFont val="Verdana"/>
          </rPr>
          <t>Individual Pay &amp; Spec Fin Sum, 2013, after allocating revenue according to company's ownership stake in services as indicated in the CRTC's CMR 2013.</t>
        </r>
      </text>
    </comment>
    <comment ref="L20" authorId="0">
      <text>
        <r>
          <rPr>
            <sz val="10"/>
            <color rgb="FF000000"/>
            <rFont val="Verdana"/>
          </rPr>
          <t>Individual Pay &amp; Spec Fin Sum, 2013, after allocating revenue according to company's ownership stake in services as indicated in the CRTC's CMR 2013.</t>
        </r>
      </text>
    </comment>
    <comment ref="M20" authorId="0">
      <text>
        <r>
          <rPr>
            <sz val="10"/>
            <color rgb="FF000000"/>
            <rFont val="Verdana"/>
          </rPr>
          <t>Individual Pay &amp; Spec Fin Sum, 2013, after allocating revenue according to company's ownership stake in services as indicated in the CRTC's CMR 2013.</t>
        </r>
      </text>
    </comment>
    <comment ref="N20" authorId="0">
      <text>
        <r>
          <rPr>
            <sz val="10"/>
            <color rgb="FF000000"/>
            <rFont val="Verdana"/>
          </rPr>
          <t>CRTC, Individual Pay &amp; Spec Fin Sum, 2009-2013, after allocating revenue according to company's ownership stake in services as indicated in the CRTC's CMR 2013.</t>
        </r>
      </text>
    </comment>
    <comment ref="O20" authorId="0">
      <text>
        <r>
          <rPr>
            <sz val="10"/>
            <color rgb="FF000000"/>
            <rFont val="Verdana"/>
          </rPr>
          <t>CRTC, Individual Pay &amp; Spec Fin Sum, 2010-2014, after allocating revenue according to company's ownership stake in services as indicated in the CRTC's CMR 2013.</t>
        </r>
      </text>
    </comment>
    <comment ref="K23" authorId="0">
      <text>
        <r>
          <rPr>
            <sz val="10"/>
            <color rgb="FF000000"/>
            <rFont val="Verdana"/>
          </rPr>
          <t>Individual Pay &amp; Spec Fin Sum, 2013.</t>
        </r>
      </text>
    </comment>
    <comment ref="L23" authorId="0">
      <text>
        <r>
          <rPr>
            <sz val="10"/>
            <color rgb="FF000000"/>
            <rFont val="Verdana"/>
          </rPr>
          <t>Individual Pay &amp; Spec Fin Sum, 2013.</t>
        </r>
      </text>
    </comment>
    <comment ref="M23" authorId="0">
      <text>
        <r>
          <rPr>
            <sz val="10"/>
            <color rgb="FF000000"/>
            <rFont val="Verdana"/>
          </rPr>
          <t>Individual Pay &amp; Spec Fin Sum, 2013.</t>
        </r>
      </text>
    </comment>
    <comment ref="N23" authorId="0">
      <text>
        <r>
          <rPr>
            <sz val="10"/>
            <color rgb="FF000000"/>
            <rFont val="Verdana"/>
          </rPr>
          <t>Individual Pay &amp; Spec Fin Sum, 2013.</t>
        </r>
      </text>
    </comment>
    <comment ref="O23" authorId="0">
      <text>
        <r>
          <rPr>
            <sz val="10"/>
            <color rgb="FF000000"/>
            <rFont val="Verdana"/>
          </rPr>
          <t>Individual Pay &amp; Spec Fin Sum, 2014.</t>
        </r>
      </text>
    </comment>
    <comment ref="K24" authorId="0">
      <text>
        <r>
          <rPr>
            <sz val="10"/>
            <color rgb="FF000000"/>
            <rFont val="Verdana"/>
          </rPr>
          <t>Individual Pay &amp; Spec Fin Sum, 2013,</t>
        </r>
      </text>
    </comment>
    <comment ref="L24" authorId="0">
      <text>
        <r>
          <rPr>
            <sz val="10"/>
            <color rgb="FF000000"/>
            <rFont val="Verdana"/>
          </rPr>
          <t>Individual Pay &amp; Spec Fin Sum, 2013,</t>
        </r>
      </text>
    </comment>
    <comment ref="M24" authorId="0">
      <text>
        <r>
          <rPr>
            <sz val="10"/>
            <color rgb="FF000000"/>
            <rFont val="Verdana"/>
          </rPr>
          <t>Individual Pay &amp; Spec Fin Sum, 2013,</t>
        </r>
      </text>
    </comment>
    <comment ref="N24" authorId="0">
      <text>
        <r>
          <rPr>
            <sz val="10"/>
            <color rgb="FF000000"/>
            <rFont val="Verdana"/>
          </rPr>
          <t>Individual Pay &amp; Spec Fin Sum, 2013.</t>
        </r>
      </text>
    </comment>
    <comment ref="O24" authorId="0">
      <text>
        <r>
          <rPr>
            <sz val="10"/>
            <color rgb="FF000000"/>
            <rFont val="Verdana"/>
          </rPr>
          <t>Individual Pay &amp; Spec Fin Sum, 2014.</t>
        </r>
      </text>
    </comment>
    <comment ref="K25" authorId="0">
      <text>
        <r>
          <rPr>
            <sz val="10"/>
            <color rgb="FF000000"/>
            <rFont val="Verdana"/>
          </rPr>
          <t xml:space="preserve">CRTC Individual Pay and Specialty Financial Summaries. </t>
        </r>
      </text>
    </comment>
    <comment ref="L25" authorId="0">
      <text>
        <r>
          <rPr>
            <sz val="10"/>
            <color rgb="FF000000"/>
            <rFont val="Verdana"/>
          </rPr>
          <t xml:space="preserve">CRTC Individual Pay and Specialty Financial Summaries. </t>
        </r>
      </text>
    </comment>
    <comment ref="M25" authorId="0">
      <text>
        <r>
          <rPr>
            <sz val="10"/>
            <color rgb="FF000000"/>
            <rFont val="Verdana"/>
          </rPr>
          <t xml:space="preserve">CRTC Individual Pay and Specialty Financial Summaries. 
</t>
        </r>
      </text>
    </comment>
    <comment ref="N25" authorId="0">
      <text>
        <r>
          <rPr>
            <sz val="10"/>
            <color rgb="FF000000"/>
            <rFont val="Verdana"/>
          </rPr>
          <t xml:space="preserve">CRTC Individual Pay and Specialty Financial Summaries. 
</t>
        </r>
      </text>
    </comment>
    <comment ref="O25" authorId="0">
      <text>
        <r>
          <rPr>
            <sz val="10"/>
            <color rgb="FF000000"/>
            <rFont val="Verdana"/>
          </rPr>
          <t>Individual Pay &amp; Spec Fin Sum, 2014</t>
        </r>
      </text>
    </comment>
    <comment ref="L26" authorId="0">
      <text>
        <r>
          <rPr>
            <sz val="10"/>
            <color rgb="FF000000"/>
            <rFont val="Verdana"/>
          </rPr>
          <t xml:space="preserve">CRTC Individual Pay and Specialty Financial Summaries. </t>
        </r>
      </text>
    </comment>
    <comment ref="M26" authorId="0">
      <text>
        <r>
          <rPr>
            <sz val="10"/>
            <color rgb="FF000000"/>
            <rFont val="Verdana"/>
          </rPr>
          <t xml:space="preserve">CRTC Individual Pay and Specialty Financial Summaries. </t>
        </r>
      </text>
    </comment>
    <comment ref="N26" authorId="0">
      <text>
        <r>
          <rPr>
            <sz val="10"/>
            <color rgb="FF000000"/>
            <rFont val="Verdana"/>
          </rPr>
          <t xml:space="preserve">CRTC Individual Pay and Specialty Financial Summaries. </t>
        </r>
      </text>
    </comment>
    <comment ref="O26" authorId="0">
      <text>
        <r>
          <rPr>
            <sz val="10"/>
            <color rgb="FF000000"/>
            <rFont val="Verdana"/>
          </rPr>
          <t xml:space="preserve">CRTC Individual Pay and Specialty Financial Summaries. </t>
        </r>
      </text>
    </comment>
    <comment ref="N27" authorId="0">
      <text>
        <r>
          <rPr>
            <sz val="10"/>
            <color rgb="FF000000"/>
            <rFont val="Verdana"/>
          </rPr>
          <t>Individual Pay &amp; Spec Fin Sum, 2013</t>
        </r>
      </text>
    </comment>
    <comment ref="O27" authorId="0">
      <text>
        <r>
          <rPr>
            <sz val="10"/>
            <color rgb="FF000000"/>
            <rFont val="Verdana"/>
          </rPr>
          <t>Individual Pay &amp; Spec Fin Sum, 2014</t>
        </r>
      </text>
    </comment>
    <comment ref="M28" authorId="0">
      <text>
        <r>
          <rPr>
            <sz val="10"/>
            <color rgb="FF000000"/>
            <rFont val="Verdana"/>
          </rPr>
          <t xml:space="preserve">See fn 3 for explanation of ownership change. </t>
        </r>
      </text>
    </comment>
    <comment ref="A33" authorId="0">
      <text>
        <r>
          <rPr>
            <sz val="10"/>
            <color rgb="FF000000"/>
            <rFont val="Verdana"/>
          </rPr>
          <t>Source: Statistics Canada, Table 3570001 - Television broadcasting industry, V32211503 Canada; Operating revenue, total; Pay and specialty television</t>
        </r>
      </text>
    </comment>
    <comment ref="I33" authorId="0">
      <text>
        <r>
          <rPr>
            <sz val="10"/>
            <color rgb="FF000000"/>
            <rFont val="Verdana"/>
          </rPr>
          <t>LR:
CRTC Communications Monitoring Report 2008, Figure 4.3.2
2065 is the listed number</t>
        </r>
      </text>
    </comment>
    <comment ref="J33" authorId="0">
      <text>
        <r>
          <rPr>
            <sz val="10"/>
            <color rgb="FF000000"/>
            <rFont val="Verdana"/>
          </rPr>
          <t>LR:
http://www.crtc.gc.ca/eng/publications/reports/BrAnalysis/psp2012/psp2012_1.htm</t>
        </r>
      </text>
    </comment>
    <comment ref="K33" authorId="0">
      <text>
        <r>
          <rPr>
            <sz val="10"/>
            <color rgb="FF000000"/>
            <rFont val="Verdana"/>
          </rPr>
          <t>CRTC, Pay, Pay-Per view, VOD &amp; Specialty Services, 2010-2014. http://crtc.gc.ca/eng/publications/reports/BrAnalysis/psp2014/psp2014.htm</t>
        </r>
      </text>
    </comment>
    <comment ref="L33" authorId="0">
      <text>
        <r>
          <rPr>
            <sz val="10"/>
            <color rgb="FF000000"/>
            <rFont val="Verdana"/>
          </rPr>
          <t>LR:
http://www.crtc.gc.ca/eng/publications/reports/BrAnalysis/psp2012/psp2012_1.htm</t>
        </r>
      </text>
    </comment>
    <comment ref="M33" authorId="0">
      <text>
        <r>
          <rPr>
            <sz val="10"/>
            <color rgb="FF000000"/>
            <rFont val="Verdana"/>
          </rPr>
          <t>CRTC, Pay, Pay-Per view, VOD &amp; Specialty Services, 2010-2014. http://crtc.gc.ca/eng/publications/reports/BrAnalysis/psp2014/psp2014.htm</t>
        </r>
      </text>
    </comment>
    <comment ref="N33" authorId="0">
      <text>
        <r>
          <rPr>
            <sz val="10"/>
            <color rgb="FF000000"/>
            <rFont val="Verdana"/>
          </rPr>
          <t>CRTC, Pay, Pay-Per view, VOD &amp; Specialty Services, 2010-2014. http://crtc.gc.ca/eng/publications/reports/BrAnalysis/psp2014/psp2014.htm</t>
        </r>
      </text>
    </comment>
    <comment ref="O33" authorId="0">
      <text>
        <r>
          <rPr>
            <sz val="10"/>
            <color rgb="FF000000"/>
            <rFont val="Verdana"/>
          </rPr>
          <t>CRTC, Pay, Pay-Per view, VOD &amp; Specialty Services, 2010-2014. http://crtc.gc.ca/eng/publications/reports/BrAnalysis/psp2014/psp2014.htm</t>
        </r>
      </text>
    </comment>
    <comment ref="A34" authorId="0">
      <text>
        <r>
          <rPr>
            <sz val="10"/>
            <color rgb="FF000000"/>
            <rFont val="Verdana"/>
          </rPr>
          <t>Source: Statistics Canada: Table 3570001 - Television broadcasting industry, by North American Industry Classification System (NAICS), annually (V80997 Canada; Operating revenue, total; Private conventional television(1976 to 2013, Data: 38)</t>
        </r>
      </text>
    </comment>
  </commentList>
</comments>
</file>

<file path=xl/comments10.xml><?xml version="1.0" encoding="utf-8"?>
<comments xmlns="http://schemas.openxmlformats.org/spreadsheetml/2006/main">
  <authors>
    <author/>
  </authors>
  <commentList>
    <comment ref="M4" authorId="0">
      <text>
        <r>
          <rPr>
            <sz val="10"/>
            <color rgb="FF000000"/>
            <rFont val="Verdana"/>
          </rPr>
          <t>LR:
PWC, Astral Valuation Abridged, 2012, p.25, excludes Astral's in-house advertising and online divisions PWC Astral Valuation Abridged, p.45</t>
        </r>
      </text>
    </comment>
    <comment ref="M11" authorId="0">
      <text>
        <r>
          <rPr>
            <sz val="10"/>
            <color rgb="FF000000"/>
            <rFont val="Verdana"/>
          </rPr>
          <t>LR:
CRTC Individual Pay, Pay-Per-View, Video-on-Deman and Specialty Services Financial Summaries, 2008-2012</t>
        </r>
      </text>
    </comment>
    <comment ref="M12" authorId="0">
      <text>
        <r>
          <rPr>
            <sz val="10"/>
            <color rgb="FF000000"/>
            <rFont val="Verdana"/>
          </rPr>
          <t>CRTC Individual Pay, Pay-Per-View, Video-on-Deman and Specialty Services Financial Summaries, 2008-2012</t>
        </r>
      </text>
    </comment>
  </commentList>
</comments>
</file>

<file path=xl/comments11.xml><?xml version="1.0" encoding="utf-8"?>
<comments xmlns="http://schemas.openxmlformats.org/spreadsheetml/2006/main">
  <authors>
    <author/>
  </authors>
  <commentList>
    <comment ref="N3" authorId="0">
      <text>
        <r>
          <rPr>
            <sz val="10"/>
            <color rgb="FF000000"/>
            <rFont val="Verdana"/>
          </rPr>
          <t xml:space="preserve">Sum of OTA TV from CRTC Aggregate Annual Returns + CRTC BCE Pay &amp; Specialty Services Financial Summary (English + French), 2013. </t>
        </r>
      </text>
    </comment>
    <comment ref="O3" authorId="0">
      <text>
        <r>
          <rPr>
            <sz val="10"/>
            <color rgb="FF000000"/>
            <rFont val="Verdana"/>
          </rPr>
          <t xml:space="preserve">BCE AR 2014, p. 68. </t>
        </r>
      </text>
    </comment>
    <comment ref="M4" authorId="0">
      <text>
        <r>
          <rPr>
            <sz val="10"/>
            <color rgb="FF000000"/>
            <rFont val="Verdana"/>
          </rPr>
          <t>LR:
PWC, Astral Valuation Abridged, 2012, p.25, excludes Astral's in-house advertising and online divisions PWC Astral Valuation Abridged, p.45</t>
        </r>
      </text>
    </comment>
    <comment ref="B9" authorId="0">
      <text>
        <r>
          <rPr>
            <sz val="10"/>
            <color rgb="FF000000"/>
            <rFont val="Verdana"/>
          </rPr>
          <t xml:space="preserve">Electrohome AR 1985, p. 10. </t>
        </r>
      </text>
    </comment>
    <comment ref="K37" authorId="0">
      <text>
        <r>
          <rPr>
            <sz val="10"/>
            <color rgb="FF000000"/>
            <rFont val="Verdana"/>
          </rPr>
          <t xml:space="preserve">CRTC Individual Pay and Specialty Financial Summaries. </t>
        </r>
      </text>
    </comment>
    <comment ref="L40" authorId="0">
      <text>
        <r>
          <rPr>
            <sz val="10"/>
            <color rgb="FF000000"/>
            <rFont val="Verdana"/>
          </rPr>
          <t xml:space="preserve">CRTC Individual Pay and Specialty Financial Summaries. </t>
        </r>
      </text>
    </comment>
    <comment ref="B41" authorId="0">
      <text>
        <r>
          <rPr>
            <sz val="10"/>
            <color rgb="FF000000"/>
            <rFont val="Verdana"/>
          </rPr>
          <t>CFCF, AR 1985, np.</t>
        </r>
      </text>
    </comment>
    <comment ref="N42" authorId="0">
      <text>
        <r>
          <rPr>
            <sz val="10"/>
            <color rgb="FF000000"/>
            <rFont val="Verdana"/>
          </rPr>
          <t>Individual Pay &amp; Spec Fin Sum, 2013</t>
        </r>
      </text>
    </comment>
    <comment ref="A46" authorId="0">
      <text>
        <r>
          <rPr>
            <sz val="10"/>
            <color rgb="FF000000"/>
            <rFont val="Verdana"/>
          </rPr>
          <t>Source: Statistics Canada, Table 3570001 - Television broadcasting industry, V32211503 Canada; Operating revenue, total; Pay and specialty television</t>
        </r>
      </text>
    </comment>
    <comment ref="A47" authorId="0">
      <text>
        <r>
          <rPr>
            <sz val="10"/>
            <color rgb="FF000000"/>
            <rFont val="Verdana"/>
          </rPr>
          <t>Source: Statistics Canada: Table 3570001 - Television broadcasting industry, by North American Industry Classification System (NAICS), annually (V80997 Canada; Operating revenue, total; Private conventional television(1976 to 2013, Data: 38)</t>
        </r>
      </text>
    </comment>
  </commentList>
</comments>
</file>

<file path=xl/comments12.xml><?xml version="1.0" encoding="utf-8"?>
<comments xmlns="http://schemas.openxmlformats.org/spreadsheetml/2006/main">
  <authors>
    <author/>
  </authors>
  <commentList>
    <comment ref="J3" authorId="0">
      <text>
        <r>
          <rPr>
            <sz val="10"/>
            <color rgb="FF000000"/>
            <rFont val="Verdana"/>
          </rPr>
          <t>LR:
CRTC BCE Radio Aggregate Annual Report, 2011</t>
        </r>
      </text>
    </comment>
    <comment ref="K3" authorId="0">
      <text>
        <r>
          <rPr>
            <sz val="10"/>
            <color rgb="FF000000"/>
            <rFont val="Verdana"/>
          </rPr>
          <t xml:space="preserve">LR:
CRTC BCE Radio Aggregate Annual Report, 2012
</t>
        </r>
      </text>
    </comment>
    <comment ref="L3" authorId="0">
      <text>
        <r>
          <rPr>
            <sz val="10"/>
            <color rgb="FF000000"/>
            <rFont val="Verdana"/>
          </rPr>
          <t>LR:
CRTC BCE Radio Aggregate Annual Report, 2013</t>
        </r>
      </text>
    </comment>
    <comment ref="M3" authorId="0">
      <text>
        <r>
          <rPr>
            <sz val="10"/>
            <color rgb="FF000000"/>
            <rFont val="Verdana"/>
          </rPr>
          <t>CRTC BCE Radio Aggregate Annual Report, 2014.</t>
        </r>
      </text>
    </comment>
    <comment ref="G4" authorId="0">
      <text>
        <r>
          <rPr>
            <sz val="10"/>
            <color rgb="FF000000"/>
            <rFont val="Verdana"/>
          </rPr>
          <t>CRTC BPMR 2006, p. 14.</t>
        </r>
      </text>
    </comment>
    <comment ref="H4" authorId="0">
      <text>
        <r>
          <rPr>
            <sz val="10"/>
            <color rgb="FF000000"/>
            <rFont val="Verdana"/>
          </rPr>
          <t>LR:
CRTC Aggregate Annual Report, 2008; sum of Astral Eng and French revenue</t>
        </r>
      </text>
    </comment>
    <comment ref="I4" authorId="0">
      <text>
        <r>
          <rPr>
            <sz val="10"/>
            <color rgb="FF000000"/>
            <rFont val="Verdana"/>
          </rPr>
          <t>LR:
CRTC Aggregate Annual Report, 2010; sum of Astral Eng and French revenue</t>
        </r>
      </text>
    </comment>
    <comment ref="J4" authorId="0">
      <text>
        <r>
          <rPr>
            <sz val="10"/>
            <color rgb="FF000000"/>
            <rFont val="Verdana"/>
          </rPr>
          <t>LR:
CRTC Aggregate Annual Report, 2011; sum of Astral Eng and French revenue</t>
        </r>
      </text>
    </comment>
    <comment ref="K4" authorId="0">
      <text>
        <r>
          <rPr>
            <sz val="10"/>
            <color rgb="FF000000"/>
            <rFont val="Verdana"/>
          </rPr>
          <t>LR:
Astral Annual Report, 2012</t>
        </r>
      </text>
    </comment>
    <comment ref="F5" authorId="0">
      <text>
        <r>
          <rPr>
            <sz val="10"/>
            <color rgb="FF000000"/>
            <rFont val="Verdana"/>
          </rPr>
          <t>CRTC, BPMR 2001, p. 5.</t>
        </r>
      </text>
    </comment>
    <comment ref="G5" authorId="0">
      <text>
        <r>
          <rPr>
            <sz val="10"/>
            <color rgb="FF000000"/>
            <rFont val="Verdana"/>
          </rPr>
          <t>CRTC BPMR 2006, p. 14.</t>
        </r>
      </text>
    </comment>
    <comment ref="F6" authorId="0">
      <text>
        <r>
          <rPr>
            <sz val="10"/>
            <color rgb="FF000000"/>
            <rFont val="Verdana"/>
          </rPr>
          <t>CRTC, BPMR 2001, p. 5.</t>
        </r>
      </text>
    </comment>
    <comment ref="B7" authorId="0">
      <text>
        <r>
          <rPr>
            <sz val="10"/>
            <color rgb="FF000000"/>
            <rFont val="Verdana"/>
          </rPr>
          <t>Estimate based on average rate of growth between 1984-1988 for the three closest comparable companies.</t>
        </r>
      </text>
    </comment>
    <comment ref="C7" authorId="0">
      <text>
        <r>
          <rPr>
            <sz val="10"/>
            <color rgb="FF000000"/>
            <rFont val="Verdana"/>
          </rPr>
          <t>Okanagan Skeena Group, AR 1989, p. 6. Estimate based on revenue split between cable and broadcasting (52.8%/47.2%).</t>
        </r>
      </text>
    </comment>
    <comment ref="D7" authorId="0">
      <text>
        <r>
          <rPr>
            <sz val="10"/>
            <color rgb="FF000000"/>
            <rFont val="Verdana"/>
          </rPr>
          <t xml:space="preserve">Okanagan Skeena Group, AR 1992, p.5. Estimate based on even splt of broadcast revenue between radio and tv. </t>
        </r>
      </text>
    </comment>
    <comment ref="E7" authorId="0">
      <text>
        <r>
          <rPr>
            <sz val="10"/>
            <color rgb="FF000000"/>
            <rFont val="Verdana"/>
          </rPr>
          <t xml:space="preserve">Okanagan Skeena Group, AR 1992, p.5. Estimate based on even splt of broadcast revenue between radio and tv. </t>
        </r>
      </text>
    </comment>
    <comment ref="H9" authorId="0">
      <text>
        <r>
          <rPr>
            <sz val="10"/>
            <color rgb="FF000000"/>
            <rFont val="Verdana"/>
          </rPr>
          <t>LR:
CRTC CTVglobalmedia Aggregate Annual Report, 2008</t>
        </r>
      </text>
    </comment>
    <comment ref="I9" authorId="0">
      <text>
        <r>
          <rPr>
            <sz val="10"/>
            <color rgb="FF000000"/>
            <rFont val="Verdana"/>
          </rPr>
          <t>LR:
CRTC CTVglobalmedia Aggregate Annual Report, 2010</t>
        </r>
      </text>
    </comment>
    <comment ref="F11" authorId="0">
      <text>
        <r>
          <rPr>
            <sz val="10"/>
            <color rgb="FF000000"/>
            <rFont val="Verdana"/>
          </rPr>
          <t xml:space="preserve">CHUM, AR 2000, p. 51. </t>
        </r>
      </text>
    </comment>
    <comment ref="G11" authorId="0">
      <text>
        <r>
          <rPr>
            <sz val="10"/>
            <color rgb="FF000000"/>
            <rFont val="Verdana"/>
          </rPr>
          <t>CHUM AR 2005, p. 27.</t>
        </r>
      </text>
    </comment>
    <comment ref="H12" authorId="0">
      <text>
        <r>
          <rPr>
            <sz val="10"/>
            <color rgb="FF000000"/>
            <rFont val="Verdana"/>
          </rPr>
          <t>LR:
CRTC CBC Aggregate Annual Report, 2008; sum of Eng and French revenue</t>
        </r>
      </text>
    </comment>
    <comment ref="I12" authorId="0">
      <text>
        <r>
          <rPr>
            <sz val="10"/>
            <color rgb="FF000000"/>
            <rFont val="Verdana"/>
          </rPr>
          <t>LR:
CRTC CBC Aggregate Annual Report, 2010; sum of Eng and French revenue</t>
        </r>
      </text>
    </comment>
    <comment ref="J12" authorId="0">
      <text>
        <r>
          <rPr>
            <sz val="10"/>
            <color rgb="FF000000"/>
            <rFont val="Verdana"/>
          </rPr>
          <t>LR:
CRTC CBC Aggregate Annual Report, 2011; sum of Eng and French revenue</t>
        </r>
      </text>
    </comment>
    <comment ref="K12" authorId="0">
      <text>
        <r>
          <rPr>
            <sz val="10"/>
            <color rgb="FF000000"/>
            <rFont val="Verdana"/>
          </rPr>
          <t>LR:
CRTC CBC Aggregate Annual Report, 2012; sum of Eng and French revenue</t>
        </r>
      </text>
    </comment>
    <comment ref="L12" authorId="0">
      <text>
        <r>
          <rPr>
            <sz val="10"/>
            <color rgb="FF000000"/>
            <rFont val="Verdana"/>
          </rPr>
          <t>Dwayne Winseck:
CBC A/R 2012-2013, p.84.</t>
        </r>
      </text>
    </comment>
    <comment ref="M12" authorId="0">
      <text>
        <r>
          <rPr>
            <sz val="10"/>
            <color rgb="FF000000"/>
            <rFont val="Verdana"/>
          </rPr>
          <t>CRTC CBC TV Aggregate Annual Return, 2014.</t>
        </r>
      </text>
    </comment>
    <comment ref="F13" authorId="0">
      <text>
        <r>
          <rPr>
            <sz val="10"/>
            <color rgb="FF000000"/>
            <rFont val="Verdana"/>
          </rPr>
          <t>Rogers, AR 2001, p. 33.</t>
        </r>
      </text>
    </comment>
    <comment ref="G13" authorId="0">
      <text>
        <r>
          <rPr>
            <sz val="10"/>
            <color rgb="FF000000"/>
            <rFont val="Verdana"/>
          </rPr>
          <t xml:space="preserve">LR:
Rogers Annual Report, 2004 p.42
</t>
        </r>
      </text>
    </comment>
    <comment ref="H13" authorId="0">
      <text>
        <r>
          <rPr>
            <sz val="10"/>
            <color rgb="FF000000"/>
            <rFont val="Verdana"/>
          </rPr>
          <t>LR:
CRTC Rogers Aggregate Annual Report, 2008</t>
        </r>
      </text>
    </comment>
    <comment ref="I13" authorId="0">
      <text>
        <r>
          <rPr>
            <sz val="10"/>
            <color rgb="FF000000"/>
            <rFont val="Verdana"/>
          </rPr>
          <t>LR:
CRTC Rogers Aggregate Annual Report, 2010</t>
        </r>
      </text>
    </comment>
    <comment ref="J13" authorId="0">
      <text>
        <r>
          <rPr>
            <sz val="10"/>
            <color rgb="FF000000"/>
            <rFont val="Verdana"/>
          </rPr>
          <t>LR:
CRTC Rogers Aggregate Annual Report, 2011</t>
        </r>
      </text>
    </comment>
    <comment ref="K13" authorId="0">
      <text>
        <r>
          <rPr>
            <sz val="10"/>
            <color rgb="FF000000"/>
            <rFont val="Verdana"/>
          </rPr>
          <t>LR:
CRTC Rogers Aggregate Annual Report, 2012</t>
        </r>
      </text>
    </comment>
    <comment ref="L13" authorId="0">
      <text>
        <r>
          <rPr>
            <sz val="10"/>
            <color rgb="FF000000"/>
            <rFont val="Verdana"/>
          </rPr>
          <t xml:space="preserve">LR:
CRTC Rogers Aggregate Annual Report, 2013
</t>
        </r>
      </text>
    </comment>
    <comment ref="M13" authorId="0">
      <text>
        <r>
          <rPr>
            <sz val="10"/>
            <color rgb="FF000000"/>
            <rFont val="Verdana"/>
          </rPr>
          <t>CRTC Rogers TV Aggregate Annual Returns, 2014.</t>
        </r>
      </text>
    </comment>
    <comment ref="B14" authorId="0">
      <text>
        <r>
          <rPr>
            <sz val="10"/>
            <color rgb="FF000000"/>
            <rFont val="Verdana"/>
          </rPr>
          <t>Maclean Hunter AR 1991, p. 65. TV and Radio revenues split 2/3rds and 1/3rd, respectively.</t>
        </r>
      </text>
    </comment>
    <comment ref="C14" authorId="0">
      <text>
        <r>
          <rPr>
            <sz val="10"/>
            <color rgb="FF000000"/>
            <rFont val="Verdana"/>
          </rPr>
          <t>Maclean Hunter AR 1991, p. 65. TV and Radio revenues split 2/3rds and 1/3rd, respectively.</t>
        </r>
      </text>
    </comment>
    <comment ref="B15" authorId="0">
      <text>
        <r>
          <rPr>
            <sz val="10"/>
            <color rgb="FF000000"/>
            <rFont val="Verdana"/>
          </rPr>
          <t>Selkirk, AR 1985, p. 25.</t>
        </r>
      </text>
    </comment>
    <comment ref="C15" authorId="0">
      <text>
        <r>
          <rPr>
            <sz val="10"/>
            <color rgb="FF000000"/>
            <rFont val="Verdana"/>
          </rPr>
          <t>Selkirk, AR 1988, np (segmented info). Broadcast revenue split between tv and radio in same proportion as 1984, when both segments were identified separately, i.e. 79.8% / 20.2%.</t>
        </r>
      </text>
    </comment>
    <comment ref="C16" authorId="0">
      <text>
        <r>
          <rPr>
            <sz val="10"/>
            <color rgb="FF000000"/>
            <rFont val="Verdana"/>
          </rPr>
          <t xml:space="preserve">Shaw, AR 1988, p. 17. </t>
        </r>
      </text>
    </comment>
    <comment ref="F16" authorId="0">
      <text>
        <r>
          <rPr>
            <sz val="10"/>
            <color rgb="FF000000"/>
            <rFont val="Verdana"/>
          </rPr>
          <t>Shaw divides company into two, with Shaw providing cable, internet access , telecom and satellite distribution while Corus operates media (radio, pay and specialty tv).</t>
        </r>
      </text>
    </comment>
    <comment ref="G16" authorId="0">
      <text>
        <r>
          <rPr>
            <sz val="10"/>
            <color rgb="FF000000"/>
            <rFont val="Verdana"/>
          </rPr>
          <t>Corus AR 2005, p. 25.</t>
        </r>
      </text>
    </comment>
    <comment ref="H16" authorId="0">
      <text>
        <r>
          <rPr>
            <sz val="10"/>
            <color rgb="FF000000"/>
            <rFont val="Verdana"/>
          </rPr>
          <t xml:space="preserve">Corus AR 2008, p. 23. </t>
        </r>
      </text>
    </comment>
    <comment ref="I16" authorId="0">
      <text>
        <r>
          <rPr>
            <sz val="10"/>
            <color rgb="FF000000"/>
            <rFont val="Verdana"/>
          </rPr>
          <t>Corus AR 2010, p. 14.</t>
        </r>
      </text>
    </comment>
    <comment ref="J16" authorId="0">
      <text>
        <r>
          <rPr>
            <sz val="10"/>
            <color rgb="FF000000"/>
            <rFont val="Verdana"/>
          </rPr>
          <t>Corus AR 2012, p. 19.</t>
        </r>
      </text>
    </comment>
    <comment ref="K16" authorId="0">
      <text>
        <r>
          <rPr>
            <sz val="10"/>
            <color rgb="FF000000"/>
            <rFont val="Verdana"/>
          </rPr>
          <t>Corus AR 2012, p. 19.</t>
        </r>
      </text>
    </comment>
    <comment ref="L16" authorId="0">
      <text>
        <r>
          <rPr>
            <sz val="10"/>
            <color rgb="FF000000"/>
            <rFont val="Verdana"/>
          </rPr>
          <t xml:space="preserve">Corus AR 2013, p. 21.
</t>
        </r>
      </text>
    </comment>
    <comment ref="F17" authorId="0">
      <text>
        <r>
          <rPr>
            <sz val="10"/>
            <color rgb="FF000000"/>
            <rFont val="Verdana"/>
          </rPr>
          <t>CRTC, BPMR 2001, p. 5.</t>
        </r>
      </text>
    </comment>
    <comment ref="F19" authorId="0">
      <text>
        <r>
          <rPr>
            <sz val="10"/>
            <color rgb="FF000000"/>
            <rFont val="Verdana"/>
          </rPr>
          <t xml:space="preserve">CRTC, BPMR 2001, p. 5.
</t>
        </r>
      </text>
    </comment>
    <comment ref="G19" authorId="0">
      <text>
        <r>
          <rPr>
            <sz val="10"/>
            <color rgb="FF000000"/>
            <rFont val="Verdana"/>
          </rPr>
          <t>CRTC BPMR 2006, p. 14.</t>
        </r>
      </text>
    </comment>
    <comment ref="H19" authorId="0">
      <text>
        <r>
          <rPr>
            <sz val="10"/>
            <color rgb="FF000000"/>
            <rFont val="Verdana"/>
          </rPr>
          <t>LR:
CRTC NewCap Aggregate Annual Returns, 2008</t>
        </r>
      </text>
    </comment>
    <comment ref="I19" authorId="0">
      <text>
        <r>
          <rPr>
            <sz val="10"/>
            <color rgb="FF000000"/>
            <rFont val="Verdana"/>
          </rPr>
          <t>LR:
CRTC NewCap Aggregate Annual Returns, 2010</t>
        </r>
      </text>
    </comment>
    <comment ref="J19" authorId="0">
      <text>
        <r>
          <rPr>
            <sz val="10"/>
            <color rgb="FF000000"/>
            <rFont val="Verdana"/>
          </rPr>
          <t>LR:
CRTC NewCap Aggregate Annual Returns, 2011</t>
        </r>
      </text>
    </comment>
    <comment ref="K19" authorId="0">
      <text>
        <r>
          <rPr>
            <sz val="10"/>
            <color rgb="FF000000"/>
            <rFont val="Verdana"/>
          </rPr>
          <t>LR:
CRTC NewCap Aggregate Annual Returns, 2012</t>
        </r>
      </text>
    </comment>
    <comment ref="L19" authorId="0">
      <text>
        <r>
          <rPr>
            <sz val="10"/>
            <color rgb="FF000000"/>
            <rFont val="Verdana"/>
          </rPr>
          <t>LR:
CRTC NewCap Aggregate Annual Returns, 2013</t>
        </r>
      </text>
    </comment>
    <comment ref="H21" authorId="0">
      <text>
        <r>
          <rPr>
            <sz val="10"/>
            <color rgb="FF000000"/>
            <rFont val="Verdana"/>
          </rPr>
          <t>LR:
CRTC Cogeco Aggregate Annual Report, 2008</t>
        </r>
      </text>
    </comment>
    <comment ref="I21" authorId="0">
      <text>
        <r>
          <rPr>
            <sz val="10"/>
            <color rgb="FF000000"/>
            <rFont val="Verdana"/>
          </rPr>
          <t>LR:
CRTC Cogeco Aggregate Annual Report, 2010</t>
        </r>
      </text>
    </comment>
    <comment ref="J21" authorId="0">
      <text>
        <r>
          <rPr>
            <sz val="10"/>
            <color rgb="FF000000"/>
            <rFont val="Verdana"/>
          </rPr>
          <t>LR:
CRTC Cogeco Aggregate Annual Report, 2011</t>
        </r>
      </text>
    </comment>
    <comment ref="K21" authorId="0">
      <text>
        <r>
          <rPr>
            <sz val="10"/>
            <color rgb="FF000000"/>
            <rFont val="Verdana"/>
          </rPr>
          <t>LR:
CRTC Cogeco Aggregate Annual Report, 2012</t>
        </r>
      </text>
    </comment>
    <comment ref="L21" authorId="0">
      <text>
        <r>
          <rPr>
            <sz val="10"/>
            <color rgb="FF000000"/>
            <rFont val="Verdana"/>
          </rPr>
          <t>LR:
CRTC Cogeco Aggregate Annual Report, 2013</t>
        </r>
      </text>
    </comment>
    <comment ref="M21" authorId="0">
      <text>
        <r>
          <rPr>
            <sz val="10"/>
            <color rgb="FF000000"/>
            <rFont val="Verdana"/>
          </rPr>
          <t>CRTC Cogeco Aggregate Annual Report, 2014.</t>
        </r>
      </text>
    </comment>
    <comment ref="G22" authorId="0">
      <text>
        <r>
          <rPr>
            <sz val="10"/>
            <color rgb="FF000000"/>
            <rFont val="Verdana"/>
          </rPr>
          <t>CRTC BPMR 2006, p. 14.</t>
        </r>
      </text>
    </comment>
    <comment ref="M22" authorId="0">
      <text>
        <r>
          <rPr>
            <sz val="10"/>
            <color rgb="FF000000"/>
            <rFont val="Verdana"/>
          </rPr>
          <t xml:space="preserve">Estimates for small radio stations based on CAGR (2009-2013) of 1.8% as reported in CRTC's CMR 2014, p. 40. </t>
        </r>
      </text>
    </comment>
    <comment ref="F23" authorId="0">
      <text>
        <r>
          <rPr>
            <sz val="10"/>
            <color rgb="FF000000"/>
            <rFont val="Verdana"/>
          </rPr>
          <t>CRTC, BPMR 2001, p. 5.</t>
        </r>
      </text>
    </comment>
    <comment ref="G23" authorId="0">
      <text>
        <r>
          <rPr>
            <sz val="10"/>
            <color rgb="FF000000"/>
            <rFont val="Verdana"/>
          </rPr>
          <t xml:space="preserve">CRTC BPMR 2006, p. 14.
</t>
        </r>
      </text>
    </comment>
    <comment ref="F24" authorId="0">
      <text>
        <r>
          <rPr>
            <sz val="10"/>
            <color rgb="FF000000"/>
            <rFont val="Verdana"/>
          </rPr>
          <t>CRTC, BPMR 2001, p. 5.</t>
        </r>
      </text>
    </comment>
    <comment ref="G24" authorId="0">
      <text>
        <r>
          <rPr>
            <sz val="10"/>
            <color rgb="FF000000"/>
            <rFont val="Verdana"/>
          </rPr>
          <t>CRTC BPMR 2006, p. 14.</t>
        </r>
      </text>
    </comment>
    <comment ref="F25" authorId="0">
      <text>
        <r>
          <rPr>
            <sz val="10"/>
            <color rgb="FF000000"/>
            <rFont val="Verdana"/>
          </rPr>
          <t xml:space="preserve">CRTC, BPMR 2001, p. 5.
</t>
        </r>
      </text>
    </comment>
    <comment ref="G25" authorId="0">
      <text>
        <r>
          <rPr>
            <sz val="10"/>
            <color rgb="FF000000"/>
            <rFont val="Verdana"/>
          </rPr>
          <t>CRTC BPMR 2006, p. 14.</t>
        </r>
      </text>
    </comment>
    <comment ref="A30" authorId="0">
      <text>
        <r>
          <rPr>
            <sz val="10"/>
            <color rgb="FF000000"/>
            <rFont val="Verdana"/>
          </rPr>
          <t xml:space="preserve">Includes all revenues from private commercial radio stations and public + non-commercial radio stations. Sources: Statistics Canada Table 3570002 - Radio broadcasting industry, by North American Industry Classification System (NAICS), Canada, provinces, territories and selected census metropolitan areas, annually  (v41617222 Canada; Operating revenue, total (Dollars); Private radio broadcasting + v41617223 Canada; Operating revenue, total (Dollars); Public and non-commercial radio broadcasting) and estimates for CBC annual appropriation before 1998 from its Annual Reports. </t>
        </r>
      </text>
    </comment>
    <comment ref="M30" authorId="0">
      <text>
        <r>
          <rPr>
            <sz val="10"/>
            <color rgb="FF000000"/>
            <rFont val="Verdana"/>
          </rPr>
          <t>CRTC, CMR 2015, p. 38 + CBC annual appropriation from CBC AR 201</t>
        </r>
      </text>
    </comment>
  </commentList>
</comments>
</file>

<file path=xl/comments13.xml><?xml version="1.0" encoding="utf-8"?>
<comments xmlns="http://schemas.openxmlformats.org/spreadsheetml/2006/main">
  <authors>
    <author/>
  </authors>
  <commentList>
    <comment ref="B2" authorId="0">
      <text>
        <r>
          <rPr>
            <sz val="10"/>
            <color rgb="FF000000"/>
            <rFont val="Verdana"/>
          </rPr>
          <t>CBC AR 2013-2014, p. 59.</t>
        </r>
      </text>
    </comment>
    <comment ref="E2" authorId="0">
      <text>
        <r>
          <rPr>
            <sz val="10"/>
            <color rgb="FF000000"/>
            <rFont val="Verdana"/>
          </rPr>
          <t>CRTC Aggregate AR.</t>
        </r>
      </text>
    </comment>
    <comment ref="B3" authorId="0">
      <text>
        <r>
          <rPr>
            <sz val="10"/>
            <color rgb="FF000000"/>
            <rFont val="Verdana"/>
          </rPr>
          <t>CBC AR 2012-2013, p. 78.</t>
        </r>
      </text>
    </comment>
    <comment ref="B4" authorId="0">
      <text>
        <r>
          <rPr>
            <sz val="10"/>
            <color rgb="FF000000"/>
            <rFont val="Verdana"/>
          </rPr>
          <t>CBC AR 2012-2013, p. 78.</t>
        </r>
      </text>
    </comment>
    <comment ref="B5" authorId="0">
      <text>
        <r>
          <rPr>
            <sz val="10"/>
            <color rgb="FF000000"/>
            <rFont val="Verdana"/>
          </rPr>
          <t>CBC, AR 2010-2011, p. 44.</t>
        </r>
      </text>
    </comment>
    <comment ref="B6" authorId="0">
      <text>
        <r>
          <rPr>
            <sz val="10"/>
            <color rgb="FF000000"/>
            <rFont val="Verdana"/>
          </rPr>
          <t>CBC, AR 2010-2011, p. 44.</t>
        </r>
      </text>
    </comment>
    <comment ref="B7" authorId="0">
      <text>
        <r>
          <rPr>
            <sz val="10"/>
            <color rgb="FF000000"/>
            <rFont val="Verdana"/>
          </rPr>
          <t>CBC AR 2008-2009, vol. 2, p. 31.</t>
        </r>
      </text>
    </comment>
    <comment ref="B8" authorId="0">
      <text>
        <r>
          <rPr>
            <sz val="10"/>
            <color rgb="FF000000"/>
            <rFont val="Verdana"/>
          </rPr>
          <t>CBC AR 2003-2004, p. 51</t>
        </r>
      </text>
    </comment>
    <comment ref="B9" authorId="0">
      <text>
        <r>
          <rPr>
            <sz val="10"/>
            <color rgb="FF000000"/>
            <rFont val="Verdana"/>
          </rPr>
          <t>CBC AR 2000-2001, 46.</t>
        </r>
      </text>
    </comment>
    <comment ref="H9" authorId="0">
      <text>
        <r>
          <rPr>
            <sz val="10"/>
            <color rgb="FF000000"/>
            <rFont val="Verdana"/>
          </rPr>
          <t>CBC, AR 2000-2001, p. 46.</t>
        </r>
      </text>
    </comment>
    <comment ref="B10" authorId="0">
      <text>
        <r>
          <rPr>
            <sz val="10"/>
            <color rgb="FF000000"/>
            <rFont val="Verdana"/>
          </rPr>
          <t>CBC AR 1996-1997, p. 54.</t>
        </r>
      </text>
    </comment>
  </commentList>
</comments>
</file>

<file path=xl/comments14.xml><?xml version="1.0" encoding="utf-8"?>
<comments xmlns="http://schemas.openxmlformats.org/spreadsheetml/2006/main">
  <authors>
    <author/>
  </authors>
  <commentList>
    <comment ref="E3" authorId="0">
      <text>
        <r>
          <rPr>
            <sz val="10"/>
            <color rgb="FF000000"/>
            <rFont val="Verdana"/>
          </rPr>
          <t>Dwayne Winseck:
Torstar Annual Report 1996, p. 20.</t>
        </r>
      </text>
    </comment>
    <comment ref="F3" authorId="0">
      <text>
        <r>
          <rPr>
            <sz val="10"/>
            <color rgb="FF000000"/>
            <rFont val="Verdana"/>
          </rPr>
          <t>Dwayne Winseck:
Torstar Annual Report 2000, p. 21.</t>
        </r>
      </text>
    </comment>
    <comment ref="G3" authorId="0">
      <text>
        <r>
          <rPr>
            <sz val="10"/>
            <color rgb="FF000000"/>
            <rFont val="Verdana"/>
          </rPr>
          <t>Torstar Annual Report 2009, p. 71 - printing revenues estimated @ about 7.3% based on totals stated for 2011 and 2012 in Torstar AR 2013, p. 12.</t>
        </r>
      </text>
    </comment>
    <comment ref="H3" authorId="0">
      <text>
        <r>
          <rPr>
            <sz val="10"/>
            <color rgb="FF000000"/>
            <rFont val="Verdana"/>
          </rPr>
          <t>Dwayne Winseck:
Torstar Annual Report 2009, p. 71 - printing revenues estimated @ about 7.3% based on totals stated for 2011 and 2012 in Torstar AR 2013, p. 12.</t>
        </r>
      </text>
    </comment>
    <comment ref="I3" authorId="0">
      <text>
        <r>
          <rPr>
            <sz val="10"/>
            <color rgb="FF000000"/>
            <rFont val="Verdana"/>
          </rPr>
          <t>Torstar, AR 2011, p. 100.</t>
        </r>
      </text>
    </comment>
    <comment ref="J3" authorId="0">
      <text>
        <r>
          <rPr>
            <sz val="10"/>
            <color rgb="FF000000"/>
            <rFont val="Verdana"/>
          </rPr>
          <t>Torstar, AR 2011, p. 11 - printing revenues estimated @ about 7.3% based on totals stated for 2011 and 2012 in Torstar AR 2013, p. 12.</t>
        </r>
      </text>
    </comment>
    <comment ref="K3" authorId="0">
      <text>
        <r>
          <rPr>
            <sz val="10"/>
            <color rgb="FF000000"/>
            <rFont val="Verdana"/>
          </rPr>
          <t>Dwayne Winseck:
Torstar Annual Report 2000, p. 18.</t>
        </r>
      </text>
    </comment>
    <comment ref="L3" authorId="0">
      <text>
        <r>
          <rPr>
            <sz val="10"/>
            <color rgb="FF000000"/>
            <rFont val="Verdana"/>
          </rPr>
          <t xml:space="preserve">Torstar, AR 2013, p. 12 - printing revenues. </t>
        </r>
      </text>
    </comment>
    <comment ref="M3" authorId="0">
      <text>
        <r>
          <rPr>
            <sz val="10"/>
            <color rgb="FF000000"/>
            <rFont val="Verdana"/>
          </rPr>
          <t xml:space="preserve">Torstar, AR 2014, p. 49 - printing revenues. </t>
        </r>
      </text>
    </comment>
    <comment ref="F4" authorId="0">
      <text>
        <r>
          <rPr>
            <sz val="10"/>
            <color rgb="FF000000"/>
            <rFont val="Verdana"/>
          </rPr>
          <t>Dwayne Winseck:
Quebecor Annual Report 2000, p. 49.</t>
        </r>
      </text>
    </comment>
    <comment ref="G4" authorId="0">
      <text>
        <r>
          <rPr>
            <sz val="10"/>
            <color rgb="FF000000"/>
            <rFont val="Verdana"/>
          </rPr>
          <t>Dwayne Winseck:
Quebecor Annual Report 2004, p. 68.</t>
        </r>
      </text>
    </comment>
    <comment ref="H4" authorId="0">
      <text>
        <r>
          <rPr>
            <sz val="10"/>
            <color rgb="FF000000"/>
            <rFont val="Verdana"/>
          </rPr>
          <t>Dwayne Winseck:
Quebecor Annual Report 2008, p. 75.</t>
        </r>
      </text>
    </comment>
    <comment ref="I4" authorId="0">
      <text>
        <r>
          <rPr>
            <sz val="10"/>
            <color rgb="FF000000"/>
            <rFont val="Verdana"/>
          </rPr>
          <t>Dwayne Winseck:
Quebecor Annual Report 2010, p. 9.</t>
        </r>
      </text>
    </comment>
    <comment ref="J4" authorId="0">
      <text>
        <r>
          <rPr>
            <sz val="10"/>
            <color rgb="FF000000"/>
            <rFont val="Verdana"/>
          </rPr>
          <t>Dwayne Winseck:
Quebecor Annual Report p. 79.</t>
        </r>
      </text>
    </comment>
    <comment ref="K4" authorId="0">
      <text>
        <r>
          <rPr>
            <sz val="10"/>
            <color rgb="FF000000"/>
            <rFont val="Verdana"/>
          </rPr>
          <t>Dwayne Winseck:
Quebecor Annual Report p. 79.</t>
        </r>
      </text>
    </comment>
    <comment ref="L4" authorId="0">
      <text>
        <r>
          <rPr>
            <sz val="10"/>
            <color rgb="FF000000"/>
            <rFont val="Verdana"/>
          </rPr>
          <t>In December 2013, Quebecor restated revenues in its 2013 annual report "in connection with [its newspaper division's operations] Sun Media as of December 31, 2013 and comparative years to reflect the sale of the 74 Quebec weeklies pursuant to the TC trransaction" (Quebecor, AR 2013, p. 37). Consequently, the company reduced its previously reported revenues for 2011 and 2012 by $85 million. Given that the sale was still pending regulatory approval by the Competition Bureau and being published by Sun Media, the figure reported here adds $85 million to the figure reported in Quebecor's Annual Report, p. 2.</t>
        </r>
      </text>
    </comment>
    <comment ref="M4" authorId="0">
      <text>
        <r>
          <rPr>
            <sz val="10"/>
            <color rgb="FF000000"/>
            <rFont val="Verdana"/>
          </rPr>
          <t xml:space="preserve">Quebecor Financial Review 2014, p. 17. $85 million subtracted from previous year to reflect sale of 74 Quebec weeklies to Transcontinental and which was approved in 2013. Excluding the effects of that transaction, revenues for newspapers decreased $16.1 million over 2014. </t>
        </r>
      </text>
    </comment>
    <comment ref="B6" authorId="0">
      <text>
        <r>
          <rPr>
            <sz val="10"/>
            <color rgb="FF000000"/>
            <rFont val="Verdana"/>
          </rPr>
          <t>Maclean-Hunter, AR 1991, p. 65</t>
        </r>
      </text>
    </comment>
    <comment ref="C6" authorId="0">
      <text>
        <r>
          <rPr>
            <sz val="10"/>
            <color rgb="FF000000"/>
            <rFont val="Verdana"/>
          </rPr>
          <t>Maclean-Hunter, AR 1991, p. 65</t>
        </r>
      </text>
    </comment>
    <comment ref="I7" authorId="0">
      <text>
        <r>
          <rPr>
            <sz val="10"/>
            <color rgb="FF000000"/>
            <rFont val="Verdana"/>
          </rPr>
          <t xml:space="preserve">Dwayne Winseck:
Postmedia Annual Report 2011, p. 10. </t>
        </r>
      </text>
    </comment>
    <comment ref="J7" authorId="0">
      <text>
        <r>
          <rPr>
            <sz val="10"/>
            <color rgb="FF000000"/>
            <rFont val="Verdana"/>
          </rPr>
          <t xml:space="preserve">Dwayne Winseck:
Postmedia Annual Report 2011, p. 10. </t>
        </r>
      </text>
    </comment>
    <comment ref="K7" authorId="0">
      <text>
        <r>
          <rPr>
            <sz val="10"/>
            <color rgb="FF000000"/>
            <rFont val="Verdana"/>
          </rPr>
          <t xml:space="preserve">Dwayne Winseck:
Postmedia Annual Report pp. 58 and 75. Revenues decrease between 2011 and 2012 reflects two things: (1) sale of of Lower Mainland Publishing Group, Victoria Times Colonist and Vancouver Island Newspaper Group, to Glacier Media in November 2011 and (2) a decline of $67 million in general. </t>
        </r>
      </text>
    </comment>
    <comment ref="L7" authorId="0">
      <text>
        <r>
          <rPr>
            <sz val="10"/>
            <color rgb="FF000000"/>
            <rFont val="Verdana"/>
          </rPr>
          <t>Postmedia, AR 2013, p. 63.</t>
        </r>
      </text>
    </comment>
    <comment ref="M7" authorId="0">
      <text>
        <r>
          <rPr>
            <sz val="10"/>
            <color rgb="FF000000"/>
            <rFont val="Verdana"/>
          </rPr>
          <t>Postmedia, AR 2014, p. 60.</t>
        </r>
      </text>
    </comment>
    <comment ref="G8" authorId="0">
      <text>
        <r>
          <rPr>
            <sz val="10"/>
            <color rgb="FF000000"/>
            <rFont val="Verdana"/>
          </rPr>
          <t>Dwayne Winseck:
Canwest Annual Report 2004, p. 15.</t>
        </r>
      </text>
    </comment>
    <comment ref="H8" authorId="0">
      <text>
        <r>
          <rPr>
            <sz val="10"/>
            <color rgb="FF000000"/>
            <rFont val="Verdana"/>
          </rPr>
          <t>Dwayne Winseck:
Canwest Annual Report 2009, p. 13.</t>
        </r>
      </text>
    </comment>
    <comment ref="E10" authorId="0">
      <text>
        <r>
          <rPr>
            <sz val="10"/>
            <color rgb="FF000000"/>
            <rFont val="Verdana"/>
          </rPr>
          <t>Dwayne Winseck:
Hollinger Annual Report 1997, p. 28.</t>
        </r>
      </text>
    </comment>
    <comment ref="F10" authorId="0">
      <text>
        <r>
          <rPr>
            <sz val="10"/>
            <color rgb="FF000000"/>
            <rFont val="Verdana"/>
          </rPr>
          <t>Dwayne Winseck:
Hollingers Annual Report 2000, p. 39. Hollinger acquired most of the remaining stock in Southam that it did not already own in 1999, giving it 97% ownership stake in the company (Annual Report 2000, p. 31). Hollinger sold the Southam papers to Canwest in November 2000.</t>
        </r>
      </text>
    </comment>
    <comment ref="B11" authorId="0">
      <text>
        <r>
          <rPr>
            <sz val="10"/>
            <color rgb="FF000000"/>
            <rFont val="Verdana"/>
          </rPr>
          <t>LR:
Southam Annual Report, 1988 p. 49</t>
        </r>
      </text>
    </comment>
    <comment ref="C11" authorId="0">
      <text>
        <r>
          <rPr>
            <sz val="10"/>
            <color rgb="FF000000"/>
            <rFont val="Verdana"/>
          </rPr>
          <t xml:space="preserve">LR:
Southam Annual Report, 1988 p. 49
</t>
        </r>
      </text>
    </comment>
    <comment ref="D11" authorId="0">
      <text>
        <r>
          <rPr>
            <sz val="10"/>
            <color rgb="FF000000"/>
            <rFont val="Verdana"/>
          </rPr>
          <t>LR:
Southam Annual Report, 1996 p. 35</t>
        </r>
      </text>
    </comment>
    <comment ref="E11" authorId="0">
      <text>
        <r>
          <rPr>
            <sz val="10"/>
            <color rgb="FF000000"/>
            <rFont val="Verdana"/>
          </rPr>
          <t>LR:
Southam Annual Report, 1996 p. 35</t>
        </r>
      </text>
    </comment>
    <comment ref="A12" authorId="0">
      <text>
        <r>
          <rPr>
            <sz val="10"/>
            <color rgb="FF000000"/>
            <rFont val="Verdana"/>
          </rPr>
          <t xml:space="preserve">Dwayne Winseck:
Estimate uses share of average daily circulation as a proxy for share of all newspaper revenues. </t>
        </r>
      </text>
    </comment>
    <comment ref="A13" authorId="0">
      <text>
        <r>
          <rPr>
            <sz val="10"/>
            <color rgb="FF000000"/>
            <rFont val="Verdana"/>
          </rPr>
          <t>Estimate uses share of average daily circulation as a proxy for the Globe and Mail's share of ALL newspaper revenues.  After the 'great sell off' of its dailies in 1995 and 1996, with a few others between the latter year and 2001, estimates for Globe and Mail revenues use the method just described.</t>
        </r>
      </text>
    </comment>
    <comment ref="B13" authorId="0">
      <text>
        <r>
          <rPr>
            <sz val="10"/>
            <color rgb="FF000000"/>
            <rFont val="Verdana"/>
          </rPr>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r>
      </text>
    </comment>
    <comment ref="C13" authorId="0">
      <text>
        <r>
          <rPr>
            <sz val="10"/>
            <color rgb="FF000000"/>
            <rFont val="Verdana"/>
          </rPr>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
</t>
        </r>
      </text>
    </comment>
    <comment ref="D13" authorId="0">
      <text>
        <r>
          <rPr>
            <sz val="10"/>
            <color rgb="FF000000"/>
            <rFont val="Verdana"/>
          </rPr>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r>
      </text>
    </comment>
    <comment ref="E13" authorId="0">
      <text>
        <r>
          <rPr>
            <sz val="10"/>
            <color rgb="FF000000"/>
            <rFont val="Verdana"/>
          </rPr>
          <t>Estimate splits Thomson's 12.3% circulation share between the Globe and Mail (6.5%, based on published figures for its circulation in the CNA's report for the year 2000) and the other 8 dailies that Thomson continues to own after the 'great sell off' of 27 dailies in 1995 and 1996 (5.7%).</t>
        </r>
      </text>
    </comment>
    <comment ref="F15" authorId="0">
      <text>
        <r>
          <rPr>
            <sz val="10"/>
            <color rgb="FF000000"/>
            <rFont val="Verdana"/>
          </rPr>
          <t xml:space="preserve">Dwayne Winseck:
BCE Annual Report 2000, p. 24. Newspaper revenue is residual after revenues for Bell Globemedia TV operations (CTV and pay/specialty channels) are accounted for. </t>
        </r>
      </text>
    </comment>
    <comment ref="G15" authorId="0">
      <text>
        <r>
          <rPr>
            <sz val="10"/>
            <color rgb="FF000000"/>
            <rFont val="Verdana"/>
          </rPr>
          <t xml:space="preserve">Dwayne Winseck:
BCE Annual Report 2004, p. 55. Newspaper revenue is residue after revenues for Bell Globemedia TV operations (CTV and pay/specialty channels) are accounted for. </t>
        </r>
      </text>
    </comment>
    <comment ref="A16" authorId="0">
      <text>
        <r>
          <rPr>
            <sz val="10"/>
            <color rgb="FF000000"/>
            <rFont val="Verdana"/>
          </rPr>
          <t xml:space="preserve">Dwayne Winseck:
Revenues estimated on basis of share of average daily circulation of daily newspapers and community newspaper revenues. </t>
        </r>
      </text>
    </comment>
    <comment ref="D17" authorId="0">
      <text>
        <r>
          <rPr>
            <sz val="10"/>
            <color rgb="FF000000"/>
            <rFont val="Verdana"/>
          </rPr>
          <t>TC, AR, 1996, p. 19. Magazine / newspaper revenue split roughly 66.6/33.3. TC Annual Report 2000, p. 21.</t>
        </r>
      </text>
    </comment>
    <comment ref="E17" authorId="0">
      <text>
        <r>
          <rPr>
            <sz val="10"/>
            <color rgb="FF000000"/>
            <rFont val="Verdana"/>
          </rPr>
          <t>TC, AR, 1996, p. 19. Magazine / newspaper revenue split roughly 66.6/33.3. TC Annual Report 2000, p. 21.</t>
        </r>
      </text>
    </comment>
    <comment ref="F17" authorId="0">
      <text>
        <r>
          <rPr>
            <sz val="10"/>
            <color rgb="FF000000"/>
            <rFont val="Verdana"/>
          </rPr>
          <t xml:space="preserve">TC Annual Report 2000, p. 13 comments that it accounts for 1/3rd of the community newspaper market in Quebec. Estimate based on multiplying total $ of community newspapers in Canada ($810.6, CNA) by QC population of just under 24%. </t>
        </r>
      </text>
    </comment>
    <comment ref="G17" authorId="0">
      <text>
        <r>
          <rPr>
            <sz val="10"/>
            <color rgb="FF000000"/>
            <rFont val="Verdana"/>
          </rPr>
          <t xml:space="preserve">TC Annual Report 2004, p. 39 for Media Sector revenues and AR 2011, p. 17 for indication that newspapers account for 36% of media segment revenue. Acquisition of Optipress newspapers in 2004 added $25 million to media sector, bringing it to approximately the level where newspaper revenues accounted for about 36% of Media Sector revenues, as per later commentary (no significant acquisitions from here til 2013 (Metro Montreal) and following year after acquisition of Quebecor's community papers in Quebec at end of 2013. 10 daily and 2 weekly Canwest papers in Atlantic provinces and Saskatchewan acquired in 2002 (TC, AR 2003, p. 19). This plus addition of two smaller papers in Atlantic provinces added $85 million to 2003 revenues. Prior to these additions, newspaper revenues = an estimated 15% of TC's Media Sector revenues (TC, AR 2003, p. 39). </t>
        </r>
      </text>
    </comment>
    <comment ref="H17" authorId="0">
      <text>
        <r>
          <rPr>
            <sz val="10"/>
            <color rgb="FF000000"/>
            <rFont val="Verdana"/>
          </rPr>
          <t>Annual Report 2009, p. 43 for Media Sector revenues and AR 2011, p. 17 for indication that newspapers account for 36% of media segment revenue.</t>
        </r>
      </text>
    </comment>
    <comment ref="I17" authorId="0">
      <text>
        <r>
          <rPr>
            <sz val="10"/>
            <color rgb="FF000000"/>
            <rFont val="Verdana"/>
          </rPr>
          <t>Annual Report 2011, pp. 17-19 notes that newspapers account for 36% of media segment revenues of $608.3 million.</t>
        </r>
      </text>
    </comment>
    <comment ref="J17" authorId="0">
      <text>
        <r>
          <rPr>
            <sz val="10"/>
            <color rgb="FF000000"/>
            <rFont val="Verdana"/>
          </rPr>
          <t>Annual Report 2011, pp. 17-19 notes that newspapers account for 36% of media segment revenues of $612.4 million.</t>
        </r>
      </text>
    </comment>
    <comment ref="K17" authorId="0">
      <text>
        <r>
          <rPr>
            <sz val="10"/>
            <color rgb="FF000000"/>
            <rFont val="Verdana"/>
          </rPr>
          <t>Annual Report 2012, p. 28 for Media Sector revenues and AR 2011, p. 17 for indication that newspapers account for 36% of media segment revenue.</t>
        </r>
      </text>
    </comment>
    <comment ref="L17" authorId="0">
      <text>
        <r>
          <rPr>
            <sz val="10"/>
            <color rgb="FF000000"/>
            <rFont val="Verdana"/>
          </rPr>
          <t xml:space="preserve">Annual Report 2012, p. 28 for Media Sector revenues and AR 2011, p. 17 for indication that newspapers account for 36% of media segment revenue. Losses offset by purchase of outstanding stake in Metro Montreal.  End of 2013 agreed to buy all of Quebecor's community newspapers and associated websites in Quebec (TC, AR 2013, p. 23). </t>
        </r>
      </text>
    </comment>
    <comment ref="M17" authorId="0">
      <text>
        <r>
          <rPr>
            <sz val="10"/>
            <color rgb="FF000000"/>
            <rFont val="Verdana"/>
          </rPr>
          <t xml:space="preserve">Estimate based on comments in TC AR that revenues fell $17 million for media sector primarily because of lower advertising revenue in newspapers and magazines. That amount divided equally between the two. Losses offset by acquisition of 74 Quebec weeklies from Quebecor at end of 2013, which Quebecor indicated as representing $85 million in that company's revenues (Transcontinental, AR 2014, p. 24; Quebecor Financial Review 2014, p. 17). Another way to see this is that prior to acquiring the weeklies from Quebecor, newspapers accounted for 36% of TC's revenues. Adding the $85 million referred to above to the 2013 revenues = roughly 48% of TC's media sector revenues. Applying that to 2014 revenues yields $341.2 million, i.e. an amount similar to the estimate indicated here. </t>
        </r>
      </text>
    </comment>
    <comment ref="A18" authorId="0">
      <text>
        <r>
          <rPr>
            <sz val="10"/>
            <color rgb="FF000000"/>
            <rFont val="Verdana"/>
          </rPr>
          <t xml:space="preserve">Dwayne Winseck:
Revenues estimated on basis of share of average daily circulation of daily newspapers and community newspaper revenues. </t>
        </r>
      </text>
    </comment>
    <comment ref="A19" authorId="0">
      <text>
        <r>
          <rPr>
            <sz val="10"/>
            <color rgb="FF000000"/>
            <rFont val="Verdana"/>
          </rPr>
          <t xml:space="preserve">Revenues estimated on basis of share of average daily newspapers. </t>
        </r>
      </text>
    </comment>
    <comment ref="A21" authorId="0">
      <text>
        <r>
          <rPr>
            <sz val="10"/>
            <color rgb="FF000000"/>
            <rFont val="Verdana"/>
          </rPr>
          <t xml:space="preserve">Dwayne Winseck:
Revenues estimated on basis of share of average daily circulation of daily newspapers and community newspaper revenues. </t>
        </r>
      </text>
    </comment>
    <comment ref="A22" authorId="0">
      <text>
        <r>
          <rPr>
            <sz val="10"/>
            <color rgb="FF000000"/>
            <rFont val="Verdana"/>
          </rPr>
          <t xml:space="preserve">Dwayne Winseck:
Revenues estimated on basis of share of average daily circulation of daily newspapers and community newspaper revenues. </t>
        </r>
      </text>
    </comment>
    <comment ref="A25" authorId="0">
      <text>
        <r>
          <rPr>
            <sz val="10"/>
            <color rgb="FF000000"/>
            <rFont val="Verdana"/>
          </rPr>
          <t xml:space="preserve">Dwayne Winseck:
Estimate uses share of average daily circulation as a proxy for share of all newspaper revenues. </t>
        </r>
      </text>
    </comment>
    <comment ref="J25" authorId="0">
      <text>
        <r>
          <rPr>
            <sz val="10"/>
            <color rgb="FF000000"/>
            <rFont val="Verdana"/>
          </rPr>
          <t xml:space="preserve">2 points: 1) NC does not publish circulation share for Le Devoir prior to 2012, so this and previous years take its circulation share in 2012 as a constant; 2) Le Devoir, 2011 uses its share of daily circulation as a proxy for its share of all newspapers revemue. Otherwise the results did not look reasonable. </t>
        </r>
      </text>
    </comment>
    <comment ref="A26" authorId="0">
      <text>
        <r>
          <rPr>
            <sz val="10"/>
            <color rgb="FF000000"/>
            <rFont val="Verdana"/>
          </rPr>
          <t xml:space="preserve">Dwayne Winseck:
Revenues estimated on basis of share of average daily circulation of daily newspapers and community newspaper revenues. </t>
        </r>
      </text>
    </comment>
    <comment ref="A27" authorId="0">
      <text>
        <r>
          <rPr>
            <sz val="10"/>
            <color rgb="FF000000"/>
            <rFont val="Verdana"/>
          </rPr>
          <t xml:space="preserve">Dwayne Winseck:
Revenues estimated on basis of share of average daily circulation of daily newspapers and community newspaper revenues. </t>
        </r>
      </text>
    </comment>
    <comment ref="A30" authorId="0">
      <text>
        <r>
          <rPr>
            <sz val="10"/>
            <color rgb="FF000000"/>
            <rFont val="Verdana"/>
          </rPr>
          <t xml:space="preserve">Dwayne Winseck:
Revenues estimated on basis of share of average daily circulation of daily newspapers and community newspaper revenues. </t>
        </r>
      </text>
    </comment>
    <comment ref="L39" authorId="0">
      <text>
        <r>
          <rPr>
            <sz val="10"/>
            <color rgb="FF000000"/>
            <rFont val="Verdana"/>
          </rPr>
          <t>+ 15 free dailies</t>
        </r>
      </text>
    </comment>
    <comment ref="A40" authorId="0">
      <text>
        <r>
          <rPr>
            <sz val="10"/>
            <color rgb="FF000000"/>
            <rFont val="Verdana"/>
          </rPr>
          <t xml:space="preserve">Figure equals Statistics Canada total newspaper revenues (daily newspaper + 'other') - community newspaper revenue from Newspaper Canada. </t>
        </r>
      </text>
    </comment>
    <comment ref="B41" authorId="0">
      <text>
        <r>
          <rPr>
            <sz val="10"/>
            <color rgb="FF000000"/>
            <rFont val="Verdana"/>
          </rPr>
          <t>Estimate based on avg annual growth rate of 3.6% from 1991 - 1995.</t>
        </r>
      </text>
    </comment>
    <comment ref="C41" authorId="0">
      <text>
        <r>
          <rPr>
            <sz val="10"/>
            <color rgb="FF000000"/>
            <rFont val="Verdana"/>
          </rPr>
          <t>Estimate based on avg annual growth rate of 3.6% from 1991 - 1995.</t>
        </r>
      </text>
    </comment>
    <comment ref="D41" authorId="0">
      <text>
        <r>
          <rPr>
            <sz val="10"/>
            <color rgb="FF000000"/>
            <rFont val="Verdana"/>
          </rPr>
          <t xml:space="preserve">1991 - 2000 data from Newspaper Canada (2002), Community Newspaper Snapshot, p. 5. </t>
        </r>
      </text>
    </comment>
    <comment ref="H42" authorId="0">
      <text>
        <r>
          <rPr>
            <sz val="10"/>
            <color rgb="FF000000"/>
            <rFont val="Verdana"/>
          </rPr>
          <t xml:space="preserve">Stat Can Summary Tabe: Newspapers (2013/12/05) http://www.statcan.gc.ca/tables-tableaux/sum-som/l01/cst01/serv01-eng.htm
</t>
        </r>
      </text>
    </comment>
    <comment ref="I42" authorId="0">
      <text>
        <r>
          <rPr>
            <sz val="10"/>
            <color rgb="FF000000"/>
            <rFont val="Verdana"/>
          </rPr>
          <t>Stat Can Summary Tabe: Newspapers (2013/12/05) http://www.statcan.gc.ca/tables-tableaux/sum-som/l01/cst01/serv01-eng.htm</t>
        </r>
      </text>
    </comment>
    <comment ref="J42" authorId="0">
      <text>
        <r>
          <rPr>
            <sz val="10"/>
            <color rgb="FF000000"/>
            <rFont val="Verdana"/>
          </rPr>
          <t xml:space="preserve">Stats Can did not produce data for 2011 industry revenues. This estimate based on average of revenue for 2010 and 2012, respectively. 
</t>
        </r>
      </text>
    </comment>
    <comment ref="K42" authorId="0">
      <text>
        <r>
          <rPr>
            <sz val="10"/>
            <color rgb="FF000000"/>
            <rFont val="Verdana"/>
          </rPr>
          <t>Stat Can Summary Tabe: Newspapers (2013/12/05) http://www.statcan.gc.ca/tables-tableaux/sum-som/l01/cst01/serv01-eng.htm</t>
        </r>
      </text>
    </comment>
    <comment ref="L42" authorId="0">
      <text>
        <r>
          <rPr>
            <sz val="10"/>
            <color rgb="FF000000"/>
            <rFont val="Verdana"/>
          </rPr>
          <t xml:space="preserve">Estimate based on 8.6% revenue decline as shown in Newspaper Canada data. </t>
        </r>
      </text>
    </comment>
    <comment ref="M42" authorId="0">
      <text>
        <r>
          <rPr>
            <sz val="10"/>
            <color rgb="FF000000"/>
            <rFont val="Verdana"/>
          </rPr>
          <t>Estimate based on 15.1% revenue decline between 2013 and 2014 as shown in Newspaper Canada data.</t>
        </r>
      </text>
    </comment>
  </commentList>
</comments>
</file>

<file path=xl/comments15.xml><?xml version="1.0" encoding="utf-8"?>
<comments xmlns="http://schemas.openxmlformats.org/spreadsheetml/2006/main">
  <authors>
    <author/>
  </authors>
  <commentList>
    <comment ref="E3" authorId="0">
      <text>
        <r>
          <rPr>
            <sz val="10"/>
            <color rgb="FF000000"/>
            <rFont val="Verdana"/>
          </rPr>
          <t>Dwayne Winseck:
Torstar Annual Report 1996, p. 20.</t>
        </r>
      </text>
    </comment>
    <comment ref="F3" authorId="0">
      <text>
        <r>
          <rPr>
            <sz val="10"/>
            <color rgb="FF000000"/>
            <rFont val="Verdana"/>
          </rPr>
          <t>Dwayne Winseck:
Torstar Annual Report 2000, p. 21.</t>
        </r>
      </text>
    </comment>
    <comment ref="G3" authorId="0">
      <text>
        <r>
          <rPr>
            <sz val="10"/>
            <color rgb="FF000000"/>
            <rFont val="Verdana"/>
          </rPr>
          <t>Torstar Annual Report 2009, p. 71 - printing revenues estimated @ about 7.3% based on totals stated for 2011 and 2012 in Torstar AR 2013, p. 12.</t>
        </r>
      </text>
    </comment>
    <comment ref="H3" authorId="0">
      <text>
        <r>
          <rPr>
            <sz val="10"/>
            <color rgb="FF000000"/>
            <rFont val="Verdana"/>
          </rPr>
          <t>Dwayne Winseck:
Torstar Annual Report 2009, p. 71 - printing revenues estimated @ about 7.3% based on totals stated for 2011 and 2012 in Torstar AR 2013, p. 12.</t>
        </r>
      </text>
    </comment>
    <comment ref="I3" authorId="0">
      <text>
        <r>
          <rPr>
            <sz val="10"/>
            <color rgb="FF000000"/>
            <rFont val="Verdana"/>
          </rPr>
          <t>Torstar, AR 2011, p. 100.</t>
        </r>
      </text>
    </comment>
    <comment ref="J3" authorId="0">
      <text>
        <r>
          <rPr>
            <sz val="10"/>
            <color rgb="FF000000"/>
            <rFont val="Verdana"/>
          </rPr>
          <t>Torstar, AR 2011, p. 11 - printing revenues estimated @ about 7.3% based on totals stated for 2011 and 2012 in Torstar AR 2013, p. 12.</t>
        </r>
      </text>
    </comment>
    <comment ref="K3" authorId="0">
      <text>
        <r>
          <rPr>
            <sz val="10"/>
            <color rgb="FF000000"/>
            <rFont val="Verdana"/>
          </rPr>
          <t>Dwayne Winseck:
Torstar Annual Report 2000, p. 18.</t>
        </r>
      </text>
    </comment>
    <comment ref="L3" authorId="0">
      <text>
        <r>
          <rPr>
            <sz val="10"/>
            <color rgb="FF000000"/>
            <rFont val="Verdana"/>
          </rPr>
          <t xml:space="preserve">Torstar, AR 2013, p. 12 - printing revenues. </t>
        </r>
      </text>
    </comment>
    <comment ref="F4" authorId="0">
      <text>
        <r>
          <rPr>
            <sz val="10"/>
            <color rgb="FF000000"/>
            <rFont val="Verdana"/>
          </rPr>
          <t>Dwayne Winseck:
Quebecor Annual Report 2000, p. 49.</t>
        </r>
      </text>
    </comment>
    <comment ref="G4" authorId="0">
      <text>
        <r>
          <rPr>
            <sz val="10"/>
            <color rgb="FF000000"/>
            <rFont val="Verdana"/>
          </rPr>
          <t>Dwayne Winseck:
Quebecor Annual Report 2004, p. 68.</t>
        </r>
      </text>
    </comment>
    <comment ref="H4" authorId="0">
      <text>
        <r>
          <rPr>
            <sz val="10"/>
            <color rgb="FF000000"/>
            <rFont val="Verdana"/>
          </rPr>
          <t>Dwayne Winseck:
Quebecor Annual Report 2008, p. 75.</t>
        </r>
      </text>
    </comment>
    <comment ref="I4" authorId="0">
      <text>
        <r>
          <rPr>
            <sz val="10"/>
            <color rgb="FF000000"/>
            <rFont val="Verdana"/>
          </rPr>
          <t>Dwayne Winseck:
Quebecor Annual Report 2010, p. 9.</t>
        </r>
      </text>
    </comment>
    <comment ref="J4" authorId="0">
      <text>
        <r>
          <rPr>
            <sz val="10"/>
            <color rgb="FF000000"/>
            <rFont val="Verdana"/>
          </rPr>
          <t>Dwayne Winseck:
Quebecor Annual Report p. 79.</t>
        </r>
      </text>
    </comment>
    <comment ref="K4" authorId="0">
      <text>
        <r>
          <rPr>
            <sz val="10"/>
            <color rgb="FF000000"/>
            <rFont val="Verdana"/>
          </rPr>
          <t>Dwayne Winseck:
Quebecor Annual Report p. 79.</t>
        </r>
      </text>
    </comment>
    <comment ref="L4" authorId="0">
      <text>
        <r>
          <rPr>
            <sz val="10"/>
            <color rgb="FF000000"/>
            <rFont val="Verdana"/>
          </rPr>
          <t>In December 2013, Quebecor restated revenues in its 2013 annual report "in connection with [its newspaper division's operations] Sun Media as of December 31, 2013 and comparative years to reflect the sale of the 74 Quebec weeklies pursuant to the TC trransaction" (Quebecor, AR 2013, p. 37). Consequently, the company reduced its previously reported revenues for 2011 and 2012 by $85 million. Given that the sale was still pending regulatory approval by the Competition Bureau and being published by Sun Media, the figure reported here adds $85 million to the figure reported in Quebecor's Annual Report, p. 2.</t>
        </r>
      </text>
    </comment>
    <comment ref="C6" authorId="0">
      <text>
        <r>
          <rPr>
            <sz val="10"/>
            <color rgb="FF000000"/>
            <rFont val="Verdana"/>
          </rPr>
          <t>Maclean-Hunter, AR 1991, p. 65</t>
        </r>
      </text>
    </comment>
    <comment ref="I7" authorId="0">
      <text>
        <r>
          <rPr>
            <sz val="10"/>
            <color rgb="FF000000"/>
            <rFont val="Verdana"/>
          </rPr>
          <t xml:space="preserve">Dwayne Winseck:
Postmedia Annual Report 2011, p. 10. </t>
        </r>
      </text>
    </comment>
    <comment ref="J7" authorId="0">
      <text>
        <r>
          <rPr>
            <sz val="10"/>
            <color rgb="FF000000"/>
            <rFont val="Verdana"/>
          </rPr>
          <t xml:space="preserve">Dwayne Winseck:
Postmedia Annual Report 2011, p. 10. </t>
        </r>
      </text>
    </comment>
    <comment ref="K7" authorId="0">
      <text>
        <r>
          <rPr>
            <sz val="10"/>
            <color rgb="FF000000"/>
            <rFont val="Verdana"/>
          </rPr>
          <t xml:space="preserve">Dwayne Winseck:
Postmedia Annual Report pp. 58 and 75. Revenues decrease between 2011 and 2012 reflects two things: (1) sale of of Lower Mainland Publishing Group, Victoria Times Colonist and Vancouver Island Newspaper Group, to Glacier Media in November 2011 and (2) a decline of $67 million in general. </t>
        </r>
      </text>
    </comment>
    <comment ref="L7" authorId="0">
      <text>
        <r>
          <rPr>
            <sz val="10"/>
            <color rgb="FF000000"/>
            <rFont val="Verdana"/>
          </rPr>
          <t>Postmedia, AR 2013, p. 63.</t>
        </r>
      </text>
    </comment>
    <comment ref="G8" authorId="0">
      <text>
        <r>
          <rPr>
            <sz val="10"/>
            <color rgb="FF000000"/>
            <rFont val="Verdana"/>
          </rPr>
          <t xml:space="preserve">Dwayne Winseck:
Postmedia Annual Report 2011, p. 10. </t>
        </r>
      </text>
    </comment>
    <comment ref="H8" authorId="0">
      <text>
        <r>
          <rPr>
            <sz val="10"/>
            <color rgb="FF000000"/>
            <rFont val="Verdana"/>
          </rPr>
          <t>Dwayne Winseck:
Canwest Annual Report 2009, p. 13.</t>
        </r>
      </text>
    </comment>
    <comment ref="C10" authorId="0">
      <text>
        <r>
          <rPr>
            <sz val="10"/>
            <color rgb="FF000000"/>
            <rFont val="Verdana"/>
          </rPr>
          <t>Maclean-Hunter, AR 1991, p. 65</t>
        </r>
      </text>
    </comment>
    <comment ref="E10" authorId="0">
      <text>
        <r>
          <rPr>
            <sz val="10"/>
            <color rgb="FF000000"/>
            <rFont val="Verdana"/>
          </rPr>
          <t>Dwayne Winseck:
Hollinger Annual Report 1997, p. 28.</t>
        </r>
      </text>
    </comment>
    <comment ref="F10" authorId="0">
      <text>
        <r>
          <rPr>
            <sz val="10"/>
            <color rgb="FF000000"/>
            <rFont val="Verdana"/>
          </rPr>
          <t>Dwayne Winseck:
Hollingers Annual Report 2000, p. 39. Hollinger acquired most of the remaining stock in Southam that it did not already own in 1999, giving it 97% ownership stake in the company (Annual Report 2000, p. 31). Hollinger sold the Southam papers to Canwest in November 2000.</t>
        </r>
      </text>
    </comment>
    <comment ref="B11" authorId="0">
      <text>
        <r>
          <rPr>
            <sz val="10"/>
            <color rgb="FF000000"/>
            <rFont val="Verdana"/>
          </rPr>
          <t>Maclean-Hunter, AR 1991, p. 65</t>
        </r>
      </text>
    </comment>
    <comment ref="A12" authorId="0">
      <text>
        <r>
          <rPr>
            <sz val="10"/>
            <color rgb="FF000000"/>
            <rFont val="Verdana"/>
          </rPr>
          <t xml:space="preserve">Dwayne Winseck:
Estimate uses share of average daily circulation as a proxy for share of all newspaper revenues. </t>
        </r>
      </text>
    </comment>
    <comment ref="A13" authorId="0">
      <text>
        <r>
          <rPr>
            <sz val="10"/>
            <color rgb="FF000000"/>
            <rFont val="Verdana"/>
          </rPr>
          <t xml:space="preserve">
Estimate uses share of average daily circulation as a proxy for share of daily newspaper revenues for Thomson's local daily newspapers and average daily circulation as a proxy for its share of all newspaper revenues for the Globe and Mail, with the latter intended to reflect the 'premium' placed on the Globe and Mails elite readership.  After the 'great sell off' of its dailies in 1995 and 1996, with a few others between the latter year and 2001, estimates for Globe and Mail revenues use the method just described.</t>
        </r>
      </text>
    </comment>
    <comment ref="B13" authorId="0">
      <text>
        <r>
          <rPr>
            <sz val="10"/>
            <color rgb="FF000000"/>
            <rFont val="Verdana"/>
          </rPr>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r>
      </text>
    </comment>
    <comment ref="C13" authorId="0">
      <text>
        <r>
          <rPr>
            <sz val="10"/>
            <color rgb="FF000000"/>
            <rFont val="Verdana"/>
          </rPr>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
</t>
        </r>
      </text>
    </comment>
    <comment ref="D13" authorId="0">
      <text>
        <r>
          <rPr>
            <sz val="10"/>
            <color rgb="FF000000"/>
            <rFont val="Verdana"/>
          </rPr>
          <t>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r>
      </text>
    </comment>
    <comment ref="E13" authorId="0">
      <text>
        <r>
          <rPr>
            <sz val="10"/>
            <color rgb="FF000000"/>
            <rFont val="Verdana"/>
          </rPr>
          <t>Estimate splits Thomson's 12.3% circulation share between the Globe and Mail (6.5%, based on published figures for its circulation in the CNA's report for the year 2000) and the other 8 dailies that Thomson continues to own after the 'great sell off' of 27 dailies in 1995 and 1996 (5.7%).</t>
        </r>
      </text>
    </comment>
    <comment ref="G15" authorId="0">
      <text>
        <r>
          <rPr>
            <sz val="10"/>
            <color rgb="FF000000"/>
            <rFont val="Verdana"/>
          </rPr>
          <t xml:space="preserve">Dwayne Winseck:
BCE Annual Report 2004, p. 55. Newspaper revenue is residue after revenues for Bell Globemedia TV operations (CTV and pay/specialty channels) are accounted for. </t>
        </r>
      </text>
    </comment>
    <comment ref="A16" authorId="0">
      <text>
        <r>
          <rPr>
            <sz val="10"/>
            <color rgb="FF000000"/>
            <rFont val="Verdana"/>
          </rPr>
          <t xml:space="preserve">Dwayne Winseck:
Revenues estimated on basis of share of average daily circulation of daily newspapers and community newspaper revenues. </t>
        </r>
      </text>
    </comment>
    <comment ref="D17" authorId="0">
      <text>
        <r>
          <rPr>
            <sz val="10"/>
            <color rgb="FF000000"/>
            <rFont val="Verdana"/>
          </rPr>
          <t>TC, AR, 1996, p. 19. Magazine / newspaper revenue split roughly 66.6/33.3. TC Annual Report 2000, p. 21.</t>
        </r>
      </text>
    </comment>
    <comment ref="E17" authorId="0">
      <text>
        <r>
          <rPr>
            <sz val="10"/>
            <color rgb="FF000000"/>
            <rFont val="Verdana"/>
          </rPr>
          <t>TC, AR, 1996, p. 19. Magazine / newspaper revenue split roughly 66.6/33.3. TC Annual Report 2000, p. 21.</t>
        </r>
      </text>
    </comment>
    <comment ref="F17" authorId="0">
      <text>
        <r>
          <rPr>
            <sz val="10"/>
            <color rgb="FF000000"/>
            <rFont val="Verdana"/>
          </rPr>
          <t xml:space="preserve">TC Annual Report 2000, p. 13 comments that it accounts for 1/3rd of the community newspaper market in Quebec. Estimate based on multiplying total $ of community newspapers in Canada ($810.6, CNA) by QC population of just under 24%. </t>
        </r>
      </text>
    </comment>
    <comment ref="G17" authorId="0">
      <text>
        <r>
          <rPr>
            <sz val="10"/>
            <color rgb="FF000000"/>
            <rFont val="Verdana"/>
          </rPr>
          <t xml:space="preserve">TC Annual Report 2004, p. 39 for Media Sector revenues and AR 2011, p. 17 for indication that newspapers account for 36% of media segment revenue. Acquisition of Optipress newspapers in 2004 added $25 million to media sector, bringing it to approximately the level where newspaper revenues accounted for about 36% of Media Sector revenues, as per later commentary (no significant acquisitions from here til 2013 (Metro Montreal) and following year after acquisition of Quebecor's community papers in Quebec at end of 2013. 10 daily and 2 weekly Canwest papers in Atlantic provinces and Saskatchewan acquired in 2002 (TC, AR 2003, p. 19). This plus addition of two smaller papers in Atlantic provinces added $85 million to 2003 revenues. Prior to these additions, newspaper revenues = an estimated 15% of TC's Media Sector revenues (TC, AR 2003, p. 39). </t>
        </r>
      </text>
    </comment>
    <comment ref="H17" authorId="0">
      <text>
        <r>
          <rPr>
            <sz val="10"/>
            <color rgb="FF000000"/>
            <rFont val="Verdana"/>
          </rPr>
          <t>Annual Report 2009, p. 43 for Media Sector revenues and AR 2011, p. 17 for indication that newspapers account for 36% of media segment revenue.</t>
        </r>
      </text>
    </comment>
    <comment ref="I17" authorId="0">
      <text>
        <r>
          <rPr>
            <sz val="10"/>
            <color rgb="FF000000"/>
            <rFont val="Verdana"/>
          </rPr>
          <t>Annual Report 2011, pp. 17-19 notes that newspapers account for 36% of media segment revenues of $608.3 million.</t>
        </r>
      </text>
    </comment>
    <comment ref="J17" authorId="0">
      <text>
        <r>
          <rPr>
            <sz val="10"/>
            <color rgb="FF000000"/>
            <rFont val="Verdana"/>
          </rPr>
          <t>Annual Report 2011, pp. 17-19 notes that newspapers account for 36% of media segment revenues of $612.4 million.</t>
        </r>
      </text>
    </comment>
    <comment ref="K17" authorId="0">
      <text>
        <r>
          <rPr>
            <sz val="10"/>
            <color rgb="FF000000"/>
            <rFont val="Verdana"/>
          </rPr>
          <t>Annual Report 2012, p. 28 for Media Sector revenues and AR 2011, p. 17 for indication that newspapers account for 36% of media segment revenue.</t>
        </r>
      </text>
    </comment>
    <comment ref="L17" authorId="0">
      <text>
        <r>
          <rPr>
            <sz val="10"/>
            <color rgb="FF000000"/>
            <rFont val="Verdana"/>
          </rPr>
          <t xml:space="preserve">Annual Report 2012, p. 28 for Media Sector revenues and AR 2011, p. 17 for indication that newspapers account for 36% of media segment revenue. Losses offset by purchase of outstanding stake in Metro Montreal.  End of 2013 agreed to buy all of Quebecor's community newspapers and associated websites in Quebec (TC, AR, p. 23). </t>
        </r>
      </text>
    </comment>
    <comment ref="A18" authorId="0">
      <text>
        <r>
          <rPr>
            <sz val="10"/>
            <color rgb="FF000000"/>
            <rFont val="Verdana"/>
          </rPr>
          <t xml:space="preserve">Dwayne Winseck:
Revenues estimated on basis of share of average daily circulation of daily newspapers and community newspaper revenues. </t>
        </r>
      </text>
    </comment>
    <comment ref="A19" authorId="0">
      <text>
        <r>
          <rPr>
            <sz val="10"/>
            <color rgb="FF000000"/>
            <rFont val="Verdana"/>
          </rPr>
          <t xml:space="preserve">Revenues estimated on basis of share of average daily newspapers. </t>
        </r>
      </text>
    </comment>
    <comment ref="A21" authorId="0">
      <text>
        <r>
          <rPr>
            <sz val="10"/>
            <color rgb="FF000000"/>
            <rFont val="Verdana"/>
          </rPr>
          <t xml:space="preserve">Dwayne Winseck:
Revenues estimated on basis of share of average daily circulation of daily newspapers and community newspaper revenues. </t>
        </r>
      </text>
    </comment>
    <comment ref="A22" authorId="0">
      <text>
        <r>
          <rPr>
            <sz val="10"/>
            <color rgb="FF000000"/>
            <rFont val="Verdana"/>
          </rPr>
          <t xml:space="preserve">Dwayne Winseck:
Revenues estimated on basis of share of average daily circulation of daily newspapers and community newspaper revenues. </t>
        </r>
      </text>
    </comment>
    <comment ref="A25" authorId="0">
      <text>
        <r>
          <rPr>
            <sz val="10"/>
            <color rgb="FF000000"/>
            <rFont val="Verdana"/>
          </rPr>
          <t xml:space="preserve">Dwayne Winseck:
Estimate uses share of average daily circulation as a proxy for share of all newspaper revenues. </t>
        </r>
      </text>
    </comment>
    <comment ref="J25" authorId="0">
      <text>
        <r>
          <rPr>
            <sz val="10"/>
            <color rgb="FF000000"/>
            <rFont val="Verdana"/>
          </rPr>
          <t xml:space="preserve">2 points: 1) NC does not publish circulation share for Le Devoir prior to 2012, so this and previous years take its circulation share in 2012 as a constant; 2) Le Devoir, 2011 uses its share of daily circulation as a proxy for its share of all newspapers revemue. Otherwise the results did not look reasonable. </t>
        </r>
      </text>
    </comment>
    <comment ref="A26" authorId="0">
      <text>
        <r>
          <rPr>
            <sz val="10"/>
            <color rgb="FF000000"/>
            <rFont val="Verdana"/>
          </rPr>
          <t xml:space="preserve">Dwayne Winseck:
Revenues estimated on basis of share of average daily circulation of daily newspapers and community newspaper revenues. </t>
        </r>
      </text>
    </comment>
    <comment ref="A27" authorId="0">
      <text>
        <r>
          <rPr>
            <sz val="10"/>
            <color rgb="FF000000"/>
            <rFont val="Verdana"/>
          </rPr>
          <t xml:space="preserve">Dwayne Winseck:
Revenues estimated on basis of share of average daily circulation of daily newspapers and community newspaper revenues. </t>
        </r>
      </text>
    </comment>
    <comment ref="A30" authorId="0">
      <text>
        <r>
          <rPr>
            <sz val="10"/>
            <color rgb="FF000000"/>
            <rFont val="Verdana"/>
          </rPr>
          <t xml:space="preserve">Dwayne Winseck:
Revenues estimated on basis of share of average daily circulation of daily newspapers and community newspaper revenues. </t>
        </r>
      </text>
    </comment>
    <comment ref="L39" authorId="0">
      <text>
        <r>
          <rPr>
            <sz val="10"/>
            <color rgb="FF000000"/>
            <rFont val="Verdana"/>
          </rPr>
          <t>+ 15 free dailies</t>
        </r>
      </text>
    </comment>
    <comment ref="M39" authorId="0">
      <text>
        <r>
          <rPr>
            <sz val="10"/>
            <color rgb="FF000000"/>
            <rFont val="Verdana"/>
          </rPr>
          <t xml:space="preserve">Newspaper Canada now defines daily newspapers differently than in the past in two significant ways: first, as noted for last year, free dailies are included and, second, any newspaper published four or more times per week is counted as a daily.  </t>
        </r>
      </text>
    </comment>
    <comment ref="A40" authorId="0">
      <text>
        <r>
          <rPr>
            <sz val="10"/>
            <color rgb="FF000000"/>
            <rFont val="Verdana"/>
          </rPr>
          <t xml:space="preserve">Figure equals Statistics Canada total newspaper revenues (daily newspaper + 'other') - community newspaper revenue from Newspaper Canada. </t>
        </r>
      </text>
    </comment>
    <comment ref="B41" authorId="0">
      <text>
        <r>
          <rPr>
            <sz val="10"/>
            <color rgb="FF000000"/>
            <rFont val="Verdana"/>
          </rPr>
          <t>Estimate based on avg annual growth rate of 3.6% from 1991 - 1995.</t>
        </r>
      </text>
    </comment>
    <comment ref="C41" authorId="0">
      <text>
        <r>
          <rPr>
            <sz val="10"/>
            <color rgb="FF000000"/>
            <rFont val="Verdana"/>
          </rPr>
          <t>Estimate based on avg annual growth rate of 3.6% from 1991 - 1995.</t>
        </r>
      </text>
    </comment>
    <comment ref="D41" authorId="0">
      <text>
        <r>
          <rPr>
            <sz val="10"/>
            <color rgb="FF000000"/>
            <rFont val="Verdana"/>
          </rPr>
          <t xml:space="preserve">1991 - 2000 data from Newspaper Canada (2002), Community Newspaper Snapshot, p. 5. </t>
        </r>
      </text>
    </comment>
    <comment ref="H42" authorId="0">
      <text>
        <r>
          <rPr>
            <sz val="10"/>
            <color rgb="FF000000"/>
            <rFont val="Verdana"/>
          </rPr>
          <t xml:space="preserve">Stat Can Summary Tabe: Newspapers (2013/12/05) http://www.statcan.gc.ca/tables-tableaux/sum-som/l01/cst01/serv01-eng.htm
</t>
        </r>
      </text>
    </comment>
    <comment ref="I42" authorId="0">
      <text>
        <r>
          <rPr>
            <sz val="10"/>
            <color rgb="FF000000"/>
            <rFont val="Verdana"/>
          </rPr>
          <t>Stat Can Summary Tabe: Newspapers (2013/12/05) http://www.statcan.gc.ca/tables-tableaux/sum-som/l01/cst01/serv01-eng.htm</t>
        </r>
      </text>
    </comment>
    <comment ref="J42" authorId="0">
      <text>
        <r>
          <rPr>
            <sz val="10"/>
            <color rgb="FF000000"/>
            <rFont val="Verdana"/>
          </rPr>
          <t xml:space="preserve">Stats Can did not produce data for 2011 industry revenues. This estimate based on average of revenue for 2010 and 2012, respectively. 
</t>
        </r>
      </text>
    </comment>
    <comment ref="K42" authorId="0">
      <text>
        <r>
          <rPr>
            <sz val="10"/>
            <color rgb="FF000000"/>
            <rFont val="Verdana"/>
          </rPr>
          <t>Stat Can Summary Tabe: Newspapers (2013/12/05) http://www.statcan.gc.ca/tables-tableaux/sum-som/l01/cst01/serv01-eng.htm</t>
        </r>
      </text>
    </comment>
    <comment ref="L42" authorId="0">
      <text>
        <r>
          <rPr>
            <sz val="10"/>
            <color rgb="FF000000"/>
            <rFont val="Verdana"/>
          </rPr>
          <t xml:space="preserve">Estimate based on 8.6% revenue decline as shown in Newspaper Canada data. </t>
        </r>
      </text>
    </comment>
  </commentList>
</comments>
</file>

<file path=xl/comments16.xml><?xml version="1.0" encoding="utf-8"?>
<comments xmlns="http://schemas.openxmlformats.org/spreadsheetml/2006/main">
  <authors>
    <author/>
  </authors>
  <commentList>
    <comment ref="G3" authorId="0">
      <text>
        <r>
          <rPr>
            <sz val="10"/>
            <color rgb="FF000000"/>
            <rFont val="Verdana"/>
          </rPr>
          <t xml:space="preserve">Dwayne Winseck:
Rogers Annual Report 2004, p. 42. 80% of publishing sector revenue assigned to magazines, the rest to trade publications, directories, etc. </t>
        </r>
      </text>
    </comment>
    <comment ref="H3" authorId="0">
      <text>
        <r>
          <rPr>
            <sz val="10"/>
            <color rgb="FF000000"/>
            <rFont val="Verdana"/>
          </rPr>
          <t>Dwayne Winseck:
Rogers Annual Report 2008.  Annual Report indicates that 14% of 'media segment' revenue from publishing. I have assigned 80% of this amount to magazines, with the rest accounted for by trade journals, directories and other.</t>
        </r>
      </text>
    </comment>
    <comment ref="I3" authorId="0">
      <text>
        <r>
          <rPr>
            <sz val="10"/>
            <color rgb="FF000000"/>
            <rFont val="Verdana"/>
          </rPr>
          <t xml:space="preserve">Dwayne Winseck:
Rogers Annual Report 2012, p. 1. </t>
        </r>
      </text>
    </comment>
    <comment ref="J3" authorId="0">
      <text>
        <r>
          <rPr>
            <sz val="10"/>
            <color rgb="FF000000"/>
            <rFont val="Verdana"/>
          </rPr>
          <t xml:space="preserve">Dwayne Winseck:
Rogers Annual Report 2012, p. 1. </t>
        </r>
      </text>
    </comment>
    <comment ref="K3" authorId="0">
      <text>
        <r>
          <rPr>
            <sz val="10"/>
            <color rgb="FF000000"/>
            <rFont val="Verdana"/>
          </rPr>
          <t>Dwayne Winseck:
Rogers Annual Report 2012, p. 1. Annual Report indicates that 14% of 'media segment' revenue from publishing. I have assigned 80% of this amount to magazines, with the rest accounted for by trade journals, directories and other.</t>
        </r>
      </text>
    </comment>
    <comment ref="L3" authorId="0">
      <text>
        <r>
          <rPr>
            <sz val="10"/>
            <color rgb="FF000000"/>
            <rFont val="Verdana"/>
          </rPr>
          <t>Rogers, AR 2013, pp. 47-48.Revenue multiplied by segment percentages.</t>
        </r>
      </text>
    </comment>
    <comment ref="M3" authorId="0">
      <text>
        <r>
          <rPr>
            <sz val="10"/>
            <color rgb="FF000000"/>
            <rFont val="Verdana"/>
          </rPr>
          <t>Rogers, AR 2014, p. 49. Revenue multiplied by segment percentages.</t>
        </r>
      </text>
    </comment>
    <comment ref="B4" authorId="0">
      <text>
        <r>
          <rPr>
            <sz val="10"/>
            <color rgb="FF000000"/>
            <rFont val="Verdana"/>
          </rPr>
          <t>Maclean-Hunter, AR 1991, pp. 64-65.</t>
        </r>
      </text>
    </comment>
    <comment ref="C4" authorId="0">
      <text>
        <r>
          <rPr>
            <sz val="10"/>
            <color rgb="FF000000"/>
            <rFont val="Verdana"/>
          </rPr>
          <t xml:space="preserve">Maclean-Hunter, AR 1991, pp. 64-65.
</t>
        </r>
      </text>
    </comment>
    <comment ref="D4" authorId="0">
      <text>
        <r>
          <rPr>
            <sz val="10"/>
            <color rgb="FF000000"/>
            <rFont val="Verdana"/>
          </rPr>
          <t>Maclean-Hunter, AR 1992, pp. 51.</t>
        </r>
      </text>
    </comment>
    <comment ref="D5" authorId="0">
      <text>
        <r>
          <rPr>
            <sz val="10"/>
            <color rgb="FF000000"/>
            <rFont val="Verdana"/>
          </rPr>
          <t>TC, AR, 1996, p. 19. Magazine / newspaper revenue split roughly 66.6/33.3. TC Annual Report 2000, p. 21.</t>
        </r>
      </text>
    </comment>
    <comment ref="E5" authorId="0">
      <text>
        <r>
          <rPr>
            <sz val="10"/>
            <color rgb="FF000000"/>
            <rFont val="Verdana"/>
          </rPr>
          <t>TC, AR, 1996, p. 19. Magazine / newspaper revenue split roughly 66.6/33.3. TC Annual Report 2000, p. 21.</t>
        </r>
      </text>
    </comment>
    <comment ref="F5" authorId="0">
      <text>
        <r>
          <rPr>
            <sz val="10"/>
            <color rgb="FF000000"/>
            <rFont val="Verdana"/>
          </rPr>
          <t>Publishing revenues - estimated newspaper revenues = magazine revenues. Magazine / newspaper revenue split roughly 66.6/33/.3. TC Annual Report 2000, p. 21. in 2000, TC acquired Telemedia: Canadian Living, TV Guide, Coup de pouce, Homemaker’s, Madame, Style at Home, Western Living and Vancouver Magazine, as well as the Telemedia interest in TV Hebdo, Elle Québec and Sympatico NetLife</t>
        </r>
      </text>
    </comment>
    <comment ref="I5" authorId="0">
      <text>
        <r>
          <rPr>
            <sz val="10"/>
            <color rgb="FF000000"/>
            <rFont val="Verdana"/>
          </rPr>
          <t>Dwayne Winseck:
Annual Report 2011, pp. 17-19 notes that magazines account for 25% of media segment revenues of $608.3 million.</t>
        </r>
      </text>
    </comment>
    <comment ref="J5" authorId="0">
      <text>
        <r>
          <rPr>
            <sz val="10"/>
            <color rgb="FF000000"/>
            <rFont val="Verdana"/>
          </rPr>
          <t>Dwayne Winseck:
Annual Report 2011, pp. 17-19 notes that magazines account for 25% of media segment revenues of $612.4 million.</t>
        </r>
      </text>
    </comment>
    <comment ref="K5" authorId="0">
      <text>
        <r>
          <rPr>
            <sz val="10"/>
            <color rgb="FF000000"/>
            <rFont val="Verdana"/>
          </rPr>
          <t>Dwayne Winseck:
Estimate based on textual comments in Annual Report 2012 at page 37 indicating a year-over-year decline in magazine revenue of $10.3 million.</t>
        </r>
      </text>
    </comment>
    <comment ref="L5" authorId="0">
      <text>
        <r>
          <rPr>
            <sz val="10"/>
            <color rgb="FF000000"/>
            <rFont val="Verdana"/>
          </rPr>
          <t xml:space="preserve">Transcontinental, AR 2013, p. 28. Magazine revenues estimated to be 20.1% of media sector revenues, based on 2012 results and assumptions noted in cell for 2011. </t>
        </r>
      </text>
    </comment>
    <comment ref="M5" authorId="0">
      <text>
        <r>
          <rPr>
            <sz val="10"/>
            <color rgb="FF000000"/>
            <rFont val="Verdana"/>
          </rPr>
          <t>Transcontinental, AR 2014, p. 8. Magazine revenues estimated to be 20.1% of media sector revenues, based on 2012 results and assumptions noted in cell for 2011. An alternative approach, as indicated in the relevant cell for the newspaper sector, is to divide the $17 million decline in its media sector evenly between newspapers and magazines, which would yield $137.8 million.</t>
        </r>
      </text>
    </comment>
    <comment ref="K7" authorId="0">
      <text>
        <r>
          <rPr>
            <sz val="10"/>
            <color rgb="FF000000"/>
            <rFont val="Verdana"/>
          </rPr>
          <t>Dwayne Winseck:
Revenues for 2010-2012 estimated based on Canada accounting for 2.5% of Time Warner's total publishing revenue - an amount equal to title by title tally for 2008.</t>
        </r>
      </text>
    </comment>
    <comment ref="F8" authorId="0">
      <text>
        <r>
          <rPr>
            <sz val="10"/>
            <color rgb="FF000000"/>
            <rFont val="Verdana"/>
          </rPr>
          <t>TVA Groupe Annual Report 2000, p. 72.</t>
        </r>
      </text>
    </comment>
    <comment ref="G8" authorId="0">
      <text>
        <r>
          <rPr>
            <sz val="10"/>
            <color rgb="FF000000"/>
            <rFont val="Verdana"/>
          </rPr>
          <t>TVA Group Consolidated Financial Statements 2005, p. 62.</t>
        </r>
      </text>
    </comment>
    <comment ref="H8" authorId="0">
      <text>
        <r>
          <rPr>
            <sz val="10"/>
            <color rgb="FF000000"/>
            <rFont val="Verdana"/>
          </rPr>
          <t>Dwayne Winseck:
Annual Information Form 2008, p. A-1.</t>
        </r>
      </text>
    </comment>
    <comment ref="I8" authorId="0">
      <text>
        <r>
          <rPr>
            <sz val="10"/>
            <color rgb="FF000000"/>
            <rFont val="Verdana"/>
          </rPr>
          <t>Dwayne Winseck:
Annual Information Form 2011, p. A-3.</t>
        </r>
      </text>
    </comment>
    <comment ref="J8" authorId="0">
      <text>
        <r>
          <rPr>
            <sz val="10"/>
            <color rgb="FF000000"/>
            <rFont val="Verdana"/>
          </rPr>
          <t>TVA Group Consolidated Financial Statements 2012, p. 54.</t>
        </r>
      </text>
    </comment>
    <comment ref="K8" authorId="0">
      <text>
        <r>
          <rPr>
            <sz val="10"/>
            <color rgb="FF000000"/>
            <rFont val="Verdana"/>
          </rPr>
          <t>TVA Group Consolidated Financial Statements 2013, p. 57.</t>
        </r>
      </text>
    </comment>
    <comment ref="L8" authorId="0">
      <text>
        <r>
          <rPr>
            <sz val="10"/>
            <color rgb="FF000000"/>
            <rFont val="Verdana"/>
          </rPr>
          <t>TVA Group Consolidated Financial Statements 2013, p. 56.</t>
        </r>
      </text>
    </comment>
    <comment ref="M8" authorId="0">
      <text>
        <r>
          <rPr>
            <sz val="10"/>
            <color rgb="FF000000"/>
            <rFont val="Verdana"/>
          </rPr>
          <t xml:space="preserve">Quebecor Financial Review 2014, p. 17 notes $.7 million increase over previous year. </t>
        </r>
      </text>
    </comment>
    <comment ref="K9" authorId="0">
      <text>
        <r>
          <rPr>
            <sz val="10"/>
            <color rgb="FF000000"/>
            <rFont val="Verdana"/>
          </rPr>
          <t>Dwayne Winseck:
Revenues for 2010-2012 estimated based on Canada accounting for 12.6% of American Media's total revenue as reported in its Annual Report 2012, p. 22 - an amount equal to title by title tally for 2008.</t>
        </r>
      </text>
    </comment>
    <comment ref="K10" authorId="0">
      <text>
        <r>
          <rPr>
            <sz val="10"/>
            <color rgb="FF000000"/>
            <rFont val="Verdana"/>
          </rPr>
          <t>Dwayne Winseck:
Revenues for 2010-2012 estimated based on Canada accounting for 1.6% of Bauer Media's total revenue as reported in the Facts and Figures section of its website - an amount equal to title by title tally for 2008.</t>
        </r>
      </text>
    </comment>
    <comment ref="K11" authorId="0">
      <text>
        <r>
          <rPr>
            <sz val="10"/>
            <color rgb="FF000000"/>
            <rFont val="Verdana"/>
          </rPr>
          <t>Dwayne Winseck:
Hearst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H14" authorId="0">
      <text>
        <r>
          <rPr>
            <sz val="10"/>
            <color rgb="FF000000"/>
            <rFont val="Verdana"/>
          </rPr>
          <t>Dwayne Winseck:
Estimate based on CDN revenues being 1/10 of those in the U.S., as indicated in Bonnier Annual Report 2008, p. 2. For 2000 and 2004 same method is used, but estimates for US based on avg share of magazine revenues in 2008-2012 period, i.e. 36%. Historical revenue figures available in Annual Report 2008, p. 33.</t>
        </r>
      </text>
    </comment>
    <comment ref="I14" authorId="0">
      <text>
        <r>
          <rPr>
            <sz val="10"/>
            <color rgb="FF000000"/>
            <rFont val="Verdana"/>
          </rPr>
          <t>Dwayne Winseck:
Estimate based on CDN revenues being 1/10 of those in the U.S., as indicated in Bonnier Annual Report 2010, p. 4.</t>
        </r>
      </text>
    </comment>
    <comment ref="K14" authorId="0">
      <text>
        <r>
          <rPr>
            <sz val="10"/>
            <color rgb="FF000000"/>
            <rFont val="Verdana"/>
          </rPr>
          <t>Dwayne Winseck:
Estimate based on CDN revenues being 1/10 of those in the U.S., as indicated in Bonnier Annual Report 2012, p. 4.</t>
        </r>
      </text>
    </comment>
    <comment ref="K15" authorId="0">
      <text>
        <r>
          <rPr>
            <sz val="10"/>
            <color rgb="FF000000"/>
            <rFont val="Verdana"/>
          </rPr>
          <t>Dwayne Winseck:
Readers Digest is not a publicly-traded company so it does not make its revenue figures available. Revenues for 2010-2012 estimated based on average rate of growth/decline of Time Warner, Bauer and Readers Digest revenues in Canada. Figures prior to that based on an title by title tally of advertising, subscription and newstand revenue.</t>
        </r>
      </text>
    </comment>
    <comment ref="K16" authorId="0">
      <text>
        <r>
          <rPr>
            <sz val="10"/>
            <color rgb="FF000000"/>
            <rFont val="Verdana"/>
          </rPr>
          <t>Dwayne Winseck:
Conde Nast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18" authorId="0">
      <text>
        <r>
          <rPr>
            <sz val="10"/>
            <color rgb="FF000000"/>
            <rFont val="Verdana"/>
          </rPr>
          <t>Dwayne Winseck:
Revenues for 2010-2012 estimated based on Canada accounting for 1.2% of Meredith's total revenue as reported in its Annual Report 2011 and 2012 - an amount equal to title by title tally of revenues for 2008.</t>
        </r>
      </text>
    </comment>
    <comment ref="K20" authorId="0">
      <text>
        <r>
          <rPr>
            <sz val="10"/>
            <color rgb="FF000000"/>
            <rFont val="Verdana"/>
          </rPr>
          <t>Dwayne Winseck:
Wenner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25" authorId="0">
      <text>
        <r>
          <rPr>
            <sz val="10"/>
            <color rgb="FF000000"/>
            <rFont val="Verdana"/>
          </rPr>
          <t>Dwayne Winseck:
Buzz Media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r>
      </text>
    </comment>
    <comment ref="K39" authorId="0">
      <text>
        <r>
          <rPr>
            <sz val="10"/>
            <color rgb="FF000000"/>
            <rFont val="Verdana"/>
          </rPr>
          <t>Estimate based on average of 2011 figure from Stats Can and 2013 estimate from PWC.</t>
        </r>
      </text>
    </comment>
    <comment ref="L39" authorId="0">
      <text>
        <r>
          <rPr>
            <sz val="10"/>
            <color rgb="FF000000"/>
            <rFont val="Verdana"/>
          </rPr>
          <t>Statistics Canada Table 36-0032 Periodical Publishers, Summary Statistics. http://www5.statcan.gc.ca/cansim/a26?lang=eng&amp;retrLang=eng&amp;id=3610032&amp;paSer=&amp;pattern=&amp;stByVal=1&amp;p1=1&amp;p2=31&amp;tabMode=dataTable&amp;csid=</t>
        </r>
      </text>
    </comment>
    <comment ref="M39" authorId="0">
      <text>
        <r>
          <rPr>
            <sz val="10"/>
            <color rgb="FF000000"/>
            <rFont val="Verdana"/>
          </rPr>
          <t>Estimate based on subtracting rate of y-o-y decline between 2012 to 2013 of 2.2% Statistics Canada Table 36-0032 Periodical Publishers, Summary Statistics. http://www5.statcan.gc.ca/cansim/a26?lang=eng&amp;retrLang=eng&amp;id=3610032&amp;paSer=&amp;pattern=&amp;stByVal=1&amp;p1=1&amp;p2=31&amp;tabMode=dataTable&amp;csid=</t>
        </r>
      </text>
    </comment>
  </commentList>
</comments>
</file>

<file path=xl/comments17.xml><?xml version="1.0" encoding="utf-8"?>
<comments xmlns="http://schemas.openxmlformats.org/spreadsheetml/2006/main">
  <authors>
    <author/>
  </authors>
  <commentList>
    <comment ref="J2" authorId="0">
      <text>
        <r>
          <rPr>
            <sz val="10"/>
            <color rgb="FF000000"/>
            <rFont val="Verdana"/>
          </rPr>
          <t xml:space="preserve">Experien Hitwise Canada online's results from Jan-Feb 2013 and June 2014. </t>
        </r>
      </text>
    </comment>
    <comment ref="K2" authorId="0">
      <text>
        <r>
          <rPr>
            <sz val="10"/>
            <color rgb="FF000000"/>
            <rFont val="Verdana"/>
          </rPr>
          <t>Experien Hitwise Canada results from July 2015. http://www.experian.com/marketing-services/online-trends-canada.html</t>
        </r>
      </text>
    </comment>
  </commentList>
</comments>
</file>

<file path=xl/comments18.xml><?xml version="1.0" encoding="utf-8"?>
<comments xmlns="http://schemas.openxmlformats.org/spreadsheetml/2006/main">
  <authors>
    <author/>
  </authors>
  <commentList>
    <comment ref="AT2" authorId="0">
      <text>
        <r>
          <rPr>
            <sz val="10"/>
            <color rgb="FF000000"/>
            <rFont val="Verdana"/>
          </rPr>
          <t>LR:
BCE Annual Report, 2000 p.20</t>
        </r>
      </text>
    </comment>
    <comment ref="AX2" authorId="0">
      <text>
        <r>
          <rPr>
            <sz val="10"/>
            <color rgb="FF000000"/>
            <rFont val="Verdana"/>
          </rPr>
          <t xml:space="preserve">Dwayne Winseck:
BCE Annual Report 2000, p. 24. Newspaper revenue is residual after revenues for Bell Globemedia TV operations (CTV and pay/specialty channels) are accounted for. </t>
        </r>
      </text>
    </comment>
    <comment ref="BE2" authorId="0">
      <text>
        <r>
          <rPr>
            <sz val="10"/>
            <color rgb="FF000000"/>
            <rFont val="Verdana"/>
          </rPr>
          <t>LR:
BCE Annual Report, 2004, p.56</t>
        </r>
      </text>
    </comment>
    <comment ref="BF2" authorId="0">
      <text>
        <r>
          <rPr>
            <sz val="10"/>
            <color rgb="FF000000"/>
            <rFont val="Verdana"/>
          </rPr>
          <t>LR:
BCE Annual Report 2004, p.56</t>
        </r>
      </text>
    </comment>
    <comment ref="CD2" authorId="0">
      <text>
        <r>
          <rPr>
            <sz val="10"/>
            <color rgb="FF000000"/>
            <rFont val="Verdana"/>
          </rPr>
          <t>LR:
BCE Annual Report 2010, p44</t>
        </r>
      </text>
    </comment>
    <comment ref="AS3" authorId="0">
      <text>
        <r>
          <rPr>
            <sz val="10"/>
            <color rgb="FF000000"/>
            <rFont val="Verdana"/>
          </rPr>
          <t>LR:
Telus Annual Report 2001, p.40</t>
        </r>
      </text>
    </comment>
    <comment ref="BE3" authorId="0">
      <text>
        <r>
          <rPr>
            <sz val="10"/>
            <color rgb="FF000000"/>
            <rFont val="Verdana"/>
          </rPr>
          <t>LR:
Telus Annual Report, Financial Review, 2004, p.22</t>
        </r>
      </text>
    </comment>
    <comment ref="BF3" authorId="0">
      <text>
        <r>
          <rPr>
            <sz val="10"/>
            <color rgb="FF000000"/>
            <rFont val="Verdana"/>
          </rPr>
          <t>LR:
Telus Annual Report, 2010 p.36</t>
        </r>
      </text>
    </comment>
    <comment ref="BG3" authorId="0">
      <text>
        <r>
          <rPr>
            <sz val="10"/>
            <color rgb="FF000000"/>
            <rFont val="Verdana"/>
          </rPr>
          <t xml:space="preserve">Dwayne Winseck: Telus 2011 Annual Report, p. 36 for subscriber numbers multiplied by ARPU of $33.14 derived from Bell Aliant Annual Report 2004, p. 35.
</t>
        </r>
      </text>
    </comment>
    <comment ref="CD3" authorId="0">
      <text>
        <r>
          <rPr>
            <sz val="10"/>
            <color rgb="FF000000"/>
            <rFont val="Verdana"/>
          </rPr>
          <t>LR:
Rogers Annual Report, 2010, p.19
6968</t>
        </r>
      </text>
    </comment>
    <comment ref="BF4" authorId="0">
      <text>
        <r>
          <rPr>
            <sz val="10"/>
            <color rgb="FF000000"/>
            <rFont val="Verdana"/>
          </rPr>
          <t>LR:
Rogers Annual Report, p.26
2783.5</t>
        </r>
      </text>
    </comment>
    <comment ref="CC4" authorId="0">
      <text>
        <r>
          <rPr>
            <sz val="10"/>
            <color rgb="FF000000"/>
            <rFont val="Verdana"/>
          </rPr>
          <t>LR:
Telus Annual Report 2010, p. 62</t>
        </r>
      </text>
    </comment>
    <comment ref="CD4" authorId="0">
      <text>
        <r>
          <rPr>
            <sz val="10"/>
            <color rgb="FF000000"/>
            <rFont val="Verdana"/>
          </rPr>
          <t>LR：
Telus Annual Report 2010, p.36</t>
        </r>
      </text>
    </comment>
    <comment ref="CF4" authorId="0">
      <text>
        <r>
          <rPr>
            <sz val="10"/>
            <color rgb="FF000000"/>
            <rFont val="Verdana"/>
          </rPr>
          <t xml:space="preserve">Estimate based on reported subscriber figures for Telus of 314,000 (Telus AR 2013, p. 40) and ARPU of $47.71 arrived at using average of known ARPUs for Bell and MTS.. The number of subscribers is the average between the figure at the end of the year previous year and the current year, i.e. oit assumes steady linear growth.
</t>
        </r>
      </text>
    </comment>
    <comment ref="CR4" authorId="0">
      <text>
        <r>
          <rPr>
            <sz val="10"/>
            <color rgb="FF000000"/>
            <rFont val="Verdana"/>
          </rPr>
          <t>Estimate based on reported subscriber figures for Telus of 509,000 (Telus AR 2013, p. 40) and ARPU of $54.82 arrived at using average of known ARPUs for Bell and MTS. The number of subscribers is the average between the figure at the end of the year previous year and the current year, i.e. oit assumes steady linear growth.</t>
        </r>
      </text>
    </comment>
    <comment ref="DD4" authorId="0">
      <text>
        <r>
          <rPr>
            <sz val="10"/>
            <color rgb="FF000000"/>
            <rFont val="Verdana"/>
          </rPr>
          <t xml:space="preserve">Estimate based on reported subscriber figures for Telus of 678,000 (Telus AR 2013, p. 40) and ARPU of $61.31 arrived at using of known ARPUs for Bell Aliant, Bell and MTS. The number of subscribers is the average between the figure at the end of the year previous year and the current year, i.e. oit assumes steady linear growth.
</t>
        </r>
      </text>
    </comment>
    <comment ref="DP4" authorId="0">
      <text>
        <r>
          <rPr>
            <sz val="10"/>
            <color rgb="FF000000"/>
            <rFont val="Verdana"/>
          </rPr>
          <t xml:space="preserve">Estimate based on reported subscriber figures for Telus of 815,000 (Telus AR 2013, p. 40) and ARPU of $57.38 arrived at by dividing IPTV revenue reported in CRTC Telus Aggregate Annual Return Report 2013, (IPTV revenue/IPTV subs)/12. The number of subscribers is the average between the figure at the end of the year previous year and the current year, i.e. oit assumes steady linear growth. 
</t>
        </r>
      </text>
    </comment>
    <comment ref="AH5" authorId="0">
      <text>
        <r>
          <rPr>
            <sz val="10"/>
            <color rgb="FF000000"/>
            <rFont val="Verdana"/>
          </rPr>
          <t>LR:
Telus Annual Report 2001, p.40</t>
        </r>
      </text>
    </comment>
    <comment ref="BW6" authorId="0">
      <text>
        <r>
          <rPr>
            <sz val="10"/>
            <color rgb="FF000000"/>
            <rFont val="Verdana"/>
          </rPr>
          <t>Dwayne Winseck:
Quebecor Annual Report 2008, p. 75.</t>
        </r>
      </text>
    </comment>
    <comment ref="DQ7" authorId="0">
      <text>
        <r>
          <rPr>
            <sz val="10"/>
            <color rgb="FF000000"/>
            <rFont val="Verdana"/>
          </rPr>
          <t xml:space="preserve">Sarah Green:
Please check this #, it appears it is from 2012 instead of 2013
</t>
        </r>
      </text>
    </comment>
    <comment ref="AH8" authorId="0">
      <text>
        <r>
          <rPr>
            <sz val="10"/>
            <color rgb="FF000000"/>
            <rFont val="Verdana"/>
          </rPr>
          <t>Dwayne Winseck:
SaskTel Annual Report 2000, p. 17. Local and Long Distance Only.</t>
        </r>
      </text>
    </comment>
    <comment ref="CC9" authorId="0">
      <text>
        <r>
          <rPr>
            <sz val="10"/>
            <color rgb="FF000000"/>
            <rFont val="Verdana"/>
          </rPr>
          <t>Dwayne Winseck:
MTS Allstream Annual Report 2010, p. 2. Includes all revenues except wireless, IPTV and Internet Access.</t>
        </r>
      </text>
    </comment>
    <comment ref="CD9" authorId="0">
      <text>
        <r>
          <rPr>
            <sz val="10"/>
            <color rgb="FF000000"/>
            <rFont val="Verdana"/>
          </rPr>
          <t>LR:
MTS Annual Report, 2011; p.15</t>
        </r>
      </text>
    </comment>
    <comment ref="CV9" authorId="0">
      <text>
        <r>
          <rPr>
            <sz val="10"/>
            <color rgb="FF000000"/>
            <rFont val="Verdana"/>
          </rPr>
          <t>Dwayne Winseck:
or $1,597.1 million based on CDN population that is 9.1% of that the US, i.e. CDN $ = Google US  revenues of $17.6 billion (Google, AR 2013, p. 82) * 9.1%.</t>
        </r>
      </text>
    </comment>
    <comment ref="DH9" authorId="0">
      <text>
        <r>
          <rPr>
            <sz val="10"/>
            <color rgb="FF000000"/>
            <rFont val="Verdana"/>
          </rPr>
          <t>Estimate based on view that Google accounts for about 50% of online advertising revenue. Or $1,830.8 million based on CDN population that is 9.1% of that the US, i.e. CDN $ = Google US revenues of $21.2 billion * .95 (95% of revenue from advertising, 5% from other) (Google, AR 2014, pp. 23-24) * 9.1%.</t>
        </r>
      </text>
    </comment>
    <comment ref="DT9" authorId="0">
      <text>
        <r>
          <rPr>
            <sz val="10"/>
            <color rgb="FF000000"/>
            <rFont val="Verdana"/>
          </rPr>
          <t>Estimate based on view that Google accounts for about 50% of online advertising revenue. Or $2,068.9 million based on CDN population that is 9.1% of that the US, i.e. CDN $ = Google US revenues of $25 billion * .91 (91% of revenue from advertising, 9% from other) (Google, AR 2014, pp. 23-24) * 9.1%.</t>
        </r>
      </text>
    </comment>
    <comment ref="EG9" authorId="0">
      <text>
        <r>
          <rPr>
            <sz val="10"/>
            <color rgb="FF000000"/>
            <rFont val="Verdana"/>
          </rPr>
          <t>Estimate based on view that Google accounts for about 50% of online advertising revenue. Another way to estimate this figure would lead to an estimate of $2,279 million based on CDN population that is 9.1% of that the US, i.e. CDN $ = Google US revenues of $24.9 billion * .89 (89% of revenue from advertising, 11% from other) (Google, AR 2014, pp. 23-24) * 9.1%.</t>
        </r>
      </text>
    </comment>
    <comment ref="CI10" authorId="0">
      <text>
        <r>
          <rPr>
            <sz val="10"/>
            <color rgb="FF000000"/>
            <rFont val="Verdana"/>
          </rPr>
          <t xml:space="preserve">Dwayne Winseck:
Postmedia Annual Report 2011, p. 10. </t>
        </r>
      </text>
    </comment>
    <comment ref="CS10" authorId="0">
      <text>
        <r>
          <rPr>
            <sz val="10"/>
            <color rgb="FF000000"/>
            <rFont val="Verdana"/>
          </rPr>
          <t xml:space="preserve">CRTC Individual Pay and Specialty Financial Summaries. </t>
        </r>
      </text>
    </comment>
    <comment ref="DE10" authorId="0">
      <text>
        <r>
          <rPr>
            <sz val="10"/>
            <color rgb="FF000000"/>
            <rFont val="Verdana"/>
          </rPr>
          <t xml:space="preserve">CRTC Individual Pay and Specialty Financial Summaries. </t>
        </r>
      </text>
    </comment>
    <comment ref="BE13" authorId="0">
      <text>
        <r>
          <rPr>
            <sz val="10"/>
            <color rgb="FF000000"/>
            <rFont val="Verdana"/>
          </rPr>
          <t>Dwayne Winseck:
SaskTel, Annual Report 2004, p. 22. Local and long distance revenues only.</t>
        </r>
      </text>
    </comment>
    <comment ref="CC13" authorId="0">
      <text>
        <r>
          <rPr>
            <sz val="10"/>
            <color rgb="FF000000"/>
            <rFont val="Verdana"/>
          </rPr>
          <t>Dwayne Winseck:
SaskTel Annual Report 2010, p. 30.</t>
        </r>
      </text>
    </comment>
    <comment ref="CD13" authorId="0">
      <text>
        <r>
          <rPr>
            <sz val="10"/>
            <color rgb="FF000000"/>
            <rFont val="Verdana"/>
          </rPr>
          <t xml:space="preserve">LR:
SaskTel Annual Report 2010, p.30
</t>
        </r>
      </text>
    </comment>
    <comment ref="BU14" authorId="0">
      <text>
        <r>
          <rPr>
            <sz val="10"/>
            <color rgb="FF000000"/>
            <rFont val="Verdana"/>
          </rPr>
          <t>LR:
Astral Annual Report, 2009, p.18</t>
        </r>
      </text>
    </comment>
    <comment ref="AS16" authorId="0">
      <text>
        <r>
          <rPr>
            <sz val="10"/>
            <color rgb="FF000000"/>
            <rFont val="Verdana"/>
          </rPr>
          <t>Dwayne Winseck:
SaskTel Annual Report 2000, p. 17. Local and Long Distance Only.</t>
        </r>
      </text>
    </comment>
    <comment ref="CJ17" authorId="0">
      <text>
        <r>
          <rPr>
            <sz val="10"/>
            <color rgb="FF000000"/>
            <rFont val="Verdana"/>
          </rPr>
          <t>IAB, 2013 Actual + 2014 Estimated Canadian Internet Advertising Revenue Survey, p. 9.</t>
        </r>
      </text>
    </comment>
    <comment ref="DT17" authorId="0">
      <text>
        <r>
          <rPr>
            <sz val="10"/>
            <color rgb="FF000000"/>
            <rFont val="Verdana"/>
          </rPr>
          <t xml:space="preserve">Based on 19 million Facebook users as of mid 2013 multiplied by ARPU of $18.70/year. User estimates from Facebook press release, e.g. see http://www.huffingtonpost.ca/2013/08/13/facebook-use-canada_n_3751378.html   and ARPU numbers from Facebook's Annual Report 2013, p. 41.  </t>
        </r>
      </text>
    </comment>
    <comment ref="EG17" authorId="0">
      <text>
        <r>
          <rPr>
            <sz val="10"/>
            <color rgb="FF000000"/>
            <rFont val="Verdana"/>
          </rPr>
          <t>Based on 18.7 million Facebook users as of 2014 multiplied by ARPU of $28.61/year (Facebook, AR 2014, pp. 35-37). Monthly actual usage figures distributed between Canada and US based on the relative size of their populations, i.e. 9.1% defined as Canadian. The company observes a significant y-o-y growth for US and Canada of 53% from 2013 to 2014 (p. 38).</t>
        </r>
      </text>
    </comment>
    <comment ref="DH18" authorId="0">
      <text>
        <r>
          <rPr>
            <sz val="10"/>
            <color rgb="FF000000"/>
            <rFont val="Verdana"/>
          </rPr>
          <t>Based on 18,090,640 Facebook users as of September 2012 multiplied by ARPU of $12.70/year. User numbers from  http://www.internetworldstats.com/america.htm and ARPU numbers from Facebook's Annual Report 2012, p. 37.</t>
        </r>
      </text>
    </comment>
    <comment ref="DT18" authorId="0">
      <text>
        <r>
          <rPr>
            <sz val="10"/>
            <color rgb="FF000000"/>
            <rFont val="Verdana"/>
          </rPr>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r>
      </text>
    </comment>
    <comment ref="EG18" authorId="0">
      <text>
        <r>
          <rPr>
            <sz val="10"/>
            <color rgb="FF000000"/>
            <rFont val="Verdana"/>
          </rPr>
          <t xml:space="preserve">Based on an estimate of 3 million household subscribers in Canada. This is an average of an estimated 3.1 million subscribers at year end 2014 and 2.9 million users at the end of 2013 (http://www.nytimes.com/2015/02/12/arts/international/netflix-taps-into-a-growing-international-market.html?_r=0) . The latter figure is a percentage of US Neflix subscriber numbers (32,712,000) at year end 2013 based on population, i.e. Canada's population is 9.1% of that of the US. Subscriber estimate multiplied by am ARPU of $8.14 (Netflix Annual Report 2014, pp. 18&amp;22). 
An alternative approach multiplies English-language households (10749736.3) * estimated subscribers in English-language Canada (39%) (MTM, 2015, The Rise of Netflix) + the number French-language households (3,583245.2) * estimated subscribers in French Language Canada (10%, CRTC, CMR 2014, p. 84 with 1% added for growth) = 4.55 million subscribers at year end 2014. Averaging this with 2.9 million subs at the end of 2013 yields 3.725 * $8.14 * 12 = $363.9 million. Parenthetically, this number closely corresponds to Canada's population relative to that of the U.S., i.e. 9.1%. As a portion of US subscribers on this basis, there would be 3.6 million subscribers. </t>
        </r>
      </text>
    </comment>
    <comment ref="DH19" authorId="0">
      <text>
        <r>
          <rPr>
            <sz val="10"/>
            <color rgb="FF000000"/>
            <rFont val="Verdana"/>
          </rPr>
          <t xml:space="preserve">Dwayne Winseck:
Based on an estimate of 1.6 million subscribers at the end of 2012 versus 1.2 million at the end of 2011 and montly subscription rate of $8 (IHS Screen Digest, 2013).  </t>
        </r>
      </text>
    </comment>
    <comment ref="DM19" authorId="0">
      <text>
        <r>
          <rPr>
            <sz val="10"/>
            <color rgb="FF000000"/>
            <rFont val="Verdana"/>
          </rPr>
          <t xml:space="preserve">Estimate applies year-over-year decline in revenue between 2011 and 2012 of 3%.
</t>
        </r>
      </text>
    </comment>
    <comment ref="DN19" authorId="0">
      <text>
        <r>
          <rPr>
            <sz val="10"/>
            <color rgb="FF000000"/>
            <rFont val="Verdana"/>
          </rPr>
          <t>CRTC 2014 CMR, p. 134.</t>
        </r>
      </text>
    </comment>
    <comment ref="DO19" authorId="0">
      <text>
        <r>
          <rPr>
            <sz val="10"/>
            <color rgb="FF000000"/>
            <rFont val="Verdana"/>
          </rPr>
          <t xml:space="preserve">CRTC's CMR 2014 Press Release. </t>
        </r>
      </text>
    </comment>
    <comment ref="DT19" authorId="0">
      <text>
        <r>
          <rPr>
            <sz val="10"/>
            <color rgb="FF000000"/>
            <rFont val="Verdana"/>
          </rPr>
          <t xml:space="preserve">Sum of Internet Advertising ($3525 million) and Netflix Subscription revenue. IAB, 2013 Actual + 2014 Estimated Canadian Internet Advertising Revenue Survey, p. 9.
</t>
        </r>
      </text>
    </comment>
    <comment ref="EG19" authorId="0">
      <text>
        <r>
          <rPr>
            <sz val="10"/>
            <color rgb="FF000000"/>
            <rFont val="Verdana"/>
          </rPr>
          <t>Sum of Internet Advertising ($3793.0 million) and Netflix Subscription revenue. IAB, 2014 Actual + 2015 Estimated Canadian Internet Advertising Revenue Survey, p. 4.</t>
        </r>
      </text>
    </comment>
    <comment ref="CV20" authorId="0">
      <text>
        <r>
          <rPr>
            <sz val="10"/>
            <color rgb="FF000000"/>
            <rFont val="Verdana"/>
          </rPr>
          <t>Sum of Internet Advertising ($2674.0 million) and Netflix Subscription revenue. IAB, 2013 Actual + 2014 Estimated Canadian Internet Advertising Revenue Survey, p. 9.</t>
        </r>
      </text>
    </comment>
    <comment ref="DH20" authorId="0">
      <text>
        <r>
          <rPr>
            <sz val="10"/>
            <color rgb="FF000000"/>
            <rFont val="Verdana"/>
          </rPr>
          <t>LR:
Sum of Internet Advertising ($3085 million) and Netflix Subscription revenue.IAB, 2013 Actual + 2014 Estimated Canadian Internet Advertising Revenue Survey, p. 9.</t>
        </r>
      </text>
    </comment>
    <comment ref="BE30" authorId="0">
      <text>
        <r>
          <rPr>
            <sz val="10"/>
            <color rgb="FF000000"/>
            <rFont val="Verdana"/>
          </rPr>
          <t>LR:
CRTC Communications Monitoring Report, 2008, p. 183</t>
        </r>
      </text>
    </comment>
  </commentList>
</comments>
</file>

<file path=xl/comments19.xml><?xml version="1.0" encoding="utf-8"?>
<comments xmlns="http://schemas.openxmlformats.org/spreadsheetml/2006/main">
  <authors>
    <author/>
  </authors>
  <commentList>
    <comment ref="AM2" authorId="0">
      <text>
        <r>
          <rPr>
            <sz val="10"/>
            <color rgb="FF000000"/>
            <rFont val="Verdana"/>
          </rPr>
          <t xml:space="preserve">LR:
736.6 Baton
</t>
        </r>
      </text>
    </comment>
    <comment ref="BF4" authorId="0">
      <text>
        <r>
          <rPr>
            <sz val="10"/>
            <color rgb="FF000000"/>
            <rFont val="Verdana"/>
          </rPr>
          <t>LR:
BCE Annual Report, 2010, p.46</t>
        </r>
      </text>
    </comment>
    <comment ref="CD9" authorId="0">
      <text>
        <r>
          <rPr>
            <sz val="10"/>
            <color rgb="FF000000"/>
            <rFont val="Verdana"/>
          </rPr>
          <t>or $1,597.1 million based on CDN population that is 9.1% of that the US, i.e. CDN $ = Google US  revenues of $17.6 billion (Google, AR 2013, p. 82) * 9.1%.</t>
        </r>
      </text>
    </comment>
    <comment ref="CN9" authorId="0">
      <text>
        <r>
          <rPr>
            <sz val="10"/>
            <color rgb="FF000000"/>
            <rFont val="Verdana"/>
          </rPr>
          <t>or $1,762 million based on CDN population that is 9.1% of that the US, i.e. CDN $ = Google US revenues of $21.6 billion (Google, AR 2013, p. 82) * 9.1%.</t>
        </r>
      </text>
    </comment>
    <comment ref="CX9" authorId="0">
      <text>
        <r>
          <rPr>
            <sz val="10"/>
            <color rgb="FF000000"/>
            <rFont val="Verdana"/>
          </rPr>
          <t>Estimate based on view that Google accounts for about 50% of online advertising revenue. Estimate based on view that Google accounts for about 50% of online advertising revenue. Or $2,264 million based on CDN population that is 9.1% of that the US, i.e. CDN $ = Google US revenues of $24.9 billion (Google, AR 2013, p. 82) * 9.1%.</t>
        </r>
      </text>
    </comment>
    <comment ref="DH9" authorId="0">
      <text>
        <r>
          <rPr>
            <sz val="10"/>
            <color rgb="FF000000"/>
            <rFont val="Verdana"/>
          </rPr>
          <t>Estimate based on view that Google accounts for about 50% of online advertising revenue. Estimate based on view that Google accounts for about 50% of online advertising revenue. Or $2,264 million based on CDN population that is 9.1% of that the US, i.e. CDN $ = Google US revenues of $24.9 billion (Google, AR 2013, p. 82) * 9.1%.</t>
        </r>
      </text>
    </comment>
    <comment ref="BR10" authorId="0">
      <text>
        <r>
          <rPr>
            <sz val="10"/>
            <color rgb="FF000000"/>
            <rFont val="Verdana"/>
          </rPr>
          <t>LR:
CRTC Cogeco Aggregate Annual Report, 2010</t>
        </r>
      </text>
    </comment>
    <comment ref="BX10" authorId="0">
      <text>
        <r>
          <rPr>
            <sz val="10"/>
            <color rgb="FF000000"/>
            <rFont val="Verdana"/>
          </rPr>
          <t>Estimate based on view that Google accounts for about 50% of online advertising revenue.</t>
        </r>
      </text>
    </comment>
    <comment ref="CA10" authorId="0">
      <text>
        <r>
          <rPr>
            <sz val="10"/>
            <color rgb="FF000000"/>
            <rFont val="Verdana"/>
          </rPr>
          <t xml:space="preserve">CRTC Individual Pay and Specialty Financial Summaries. </t>
        </r>
      </text>
    </comment>
    <comment ref="CK10" authorId="0">
      <text>
        <r>
          <rPr>
            <sz val="10"/>
            <color rgb="FF000000"/>
            <rFont val="Verdana"/>
          </rPr>
          <t xml:space="preserve">CRTC Individual Pay and Specialty Financial Summaries. </t>
        </r>
      </text>
    </comment>
    <comment ref="CU10" authorId="0">
      <text>
        <r>
          <rPr>
            <sz val="10"/>
            <color rgb="FF000000"/>
            <rFont val="Verdana"/>
          </rPr>
          <t xml:space="preserve">CRTC Individual Pay and Specialty Financial Summaries. </t>
        </r>
      </text>
    </comment>
    <comment ref="BE13" authorId="0">
      <text>
        <r>
          <rPr>
            <sz val="10"/>
            <color rgb="FF000000"/>
            <rFont val="Verdana"/>
          </rPr>
          <t xml:space="preserve">Dwayne Winseck: Telus 2011 Annual Report, p. 36 for subscriber numbers multiplied by ARPU of $34.06 derived from CRTC
CMR 2010, p. 137.
</t>
        </r>
      </text>
    </comment>
    <comment ref="BT15" authorId="0">
      <text>
        <r>
          <rPr>
            <sz val="10"/>
            <color rgb="FF000000"/>
            <rFont val="Verdana"/>
          </rPr>
          <t>IAB, 2013 Actual + 2014 Estimated Canadian Internet Advertising Revenue Survey, p. 9.</t>
        </r>
      </text>
    </comment>
    <comment ref="CN18" authorId="0">
      <text>
        <r>
          <rPr>
            <sz val="10"/>
            <color rgb="FF000000"/>
            <rFont val="Verdana"/>
          </rPr>
          <t>Based on 18,090,640 Facebook users as of September 2012 multiplied by ARPU of $12.70/year. User numbers from  http://www.internetworldstats.com/america.htm and ARPU numbers from Facebook's Annual Report 2012, p. 37.</t>
        </r>
      </text>
    </comment>
    <comment ref="CX18" authorId="0">
      <text>
        <r>
          <rPr>
            <sz val="10"/>
            <color rgb="FF000000"/>
            <rFont val="Verdana"/>
          </rPr>
          <t xml:space="preserve">Based on 19 million Facebook users as of mid 2013 multiplied by ARPU of $18.70/year. User estimates from Facebook press release, e.g. see http://www.huffingtonpost.ca/2013/08/13/facebook-use-canada_n_3751378.html   and ARPU numbers from Facebook's Annual Report 2013, p. 41.  </t>
        </r>
      </text>
    </comment>
    <comment ref="DH18" authorId="0">
      <text>
        <r>
          <rPr>
            <sz val="10"/>
            <color rgb="FF000000"/>
            <rFont val="Verdana"/>
          </rPr>
          <t>Based on 18.7 million Facebook users as of 2014 multiplied by ARPU of $28.61/year (Facebook, AR 2014, pp. 35-37). Monthly actual usage figures distributed between Canada and US based on the relative size of their populations, i.e. 9.1% defined as Canadian. The company observes a significant y-o-y growth for US and Canada of 53% from 2013 to 2014 (p. 38).</t>
        </r>
      </text>
    </comment>
    <comment ref="CN19" authorId="0">
      <text>
        <r>
          <rPr>
            <sz val="10"/>
            <color rgb="FF000000"/>
            <rFont val="Verdana"/>
          </rPr>
          <t xml:space="preserve">Dwayne Winseck:
Based on an estimate of 1.6 million subscribers at the end of 2012 versus 1.2 million at the end of 2011 and montly subscription rate of $8 (IHS Screen Digest, 2013).  </t>
        </r>
      </text>
    </comment>
    <comment ref="CX19" authorId="0">
      <text>
        <r>
          <rPr>
            <sz val="10"/>
            <color rgb="FF000000"/>
            <rFont val="Verdana"/>
          </rPr>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r>
      </text>
    </comment>
    <comment ref="DH19" authorId="0">
      <text>
        <r>
          <rPr>
            <sz val="10"/>
            <color rgb="FF000000"/>
            <rFont val="Verdana"/>
          </rPr>
          <t xml:space="preserve">Based on an estimate of 3 million household subscribers in Canada. This is an average of an estimated 3.1 million subscribers at year end 2014 and 2.9 million users at the end of 2013 (http://www.nytimes.com/2015/02/12/arts/international/netflix-taps-into-a-growing-international-market.html?_r=0) . The latter figure is a percentage of US Neflix subscriber numbers (32,712,000) at year end 2013 based on population, i.e. Canada's population is 9.1% of that of the US. Subscriber estimate multiplied by am ARPU of $8.14 (Netflix Annual Report 2014, pp. 18&amp;22). 
An alternative approach multiplies English-language households (10749736.3) * estimated subscribers in English-language Canada (39%) (MTM, 2015, The Rise of Netflix) + the number French-language households (3,583245.2) * estimated subscribers in French Language Canada (10%, CRTC, CMR 2014, p. 84 with 1% added for growth) = 4.55 million subscribers at year end 2014. Averaging this with 2.9 million subs at the end of 2013 yields 3.725 * $8.14 * 12 = $363.9 million. Parenthetically, this number closely corresponds to Canada's population relative to that of the U.S., i.e. 9.1%. As a portion of US subscribers on this basis, there would be 3.6 million subscribers. </t>
        </r>
      </text>
    </comment>
    <comment ref="BX20" authorId="0">
      <text>
        <r>
          <rPr>
            <sz val="10"/>
            <color rgb="FF000000"/>
            <rFont val="Verdana"/>
          </rPr>
          <t>Based on 18,090,640 Facebook users as of September 2012 multiplied by ARPU of $12.70/year. User numbers from  http://www.internetworldstats.com/america.htm and ARPU numbers from Facebook's Annual Report 2012, p. 37.</t>
        </r>
      </text>
    </comment>
    <comment ref="CD20" authorId="0">
      <text>
        <r>
          <rPr>
            <sz val="10"/>
            <color rgb="FF000000"/>
            <rFont val="Verdana"/>
          </rPr>
          <t>Sum of Internet Advertising ($2674.0 million) and Netflix Subscription revenue. IAB, 2013 Actual + 2014 Estimated Canadian Internet Advertising Revenue Survey, p. 9.</t>
        </r>
      </text>
    </comment>
    <comment ref="CN20" authorId="0">
      <text>
        <r>
          <rPr>
            <sz val="10"/>
            <color rgb="FF000000"/>
            <rFont val="Verdana"/>
          </rPr>
          <t>Sum of Internet Advertising ($3085 million) and Netflix Subscription revenue.IAB, 2013 Actual + 2014 Estimated Canadian Internet Advertising Revenue Survey, p. 9.</t>
        </r>
      </text>
    </comment>
    <comment ref="CS20" authorId="0">
      <text>
        <r>
          <rPr>
            <sz val="10"/>
            <color rgb="FF000000"/>
            <rFont val="Verdana"/>
          </rPr>
          <t xml:space="preserve">CRTC's CMR 2014 Press Release. </t>
        </r>
      </text>
    </comment>
    <comment ref="CX20" authorId="0">
      <text>
        <r>
          <rPr>
            <sz val="10"/>
            <color rgb="FF000000"/>
            <rFont val="Verdana"/>
          </rPr>
          <t>Sum of Internet Advertising ($3525 million) and Netflix Subscription revenue. IAB, 2013 Actual + 2014 Estimated Canadian Internet Advertising Revenue Survey, p. 9.</t>
        </r>
      </text>
    </comment>
    <comment ref="DH20" authorId="0">
      <text>
        <r>
          <rPr>
            <sz val="10"/>
            <color rgb="FF000000"/>
            <rFont val="Verdana"/>
          </rPr>
          <t>Sum of Internet Advertising ($3793.0 million) and Netflix Subscription revenue. IAB, 2014 Actual + 2015 Estimated Canadian Internet Advertising Revenue Survey, p. 4.</t>
        </r>
      </text>
    </comment>
    <comment ref="CD24" authorId="0">
      <text>
        <r>
          <rPr>
            <sz val="10"/>
            <color rgb="FF000000"/>
            <rFont val="Verdana"/>
          </rPr>
          <t>IAB, 2012 Actual + 2013 Estimated Canadian Internet Advertising Revenue Survey, p. 6.</t>
        </r>
      </text>
    </comment>
    <comment ref="CE24" authorId="0">
      <text>
        <r>
          <rPr>
            <sz val="10"/>
            <color rgb="FF000000"/>
            <rFont val="Verdana"/>
          </rPr>
          <t xml:space="preserve">IAB, 2012 Actual + 2013 Estimated Canadian Internet Advertising Revenue Survey, p. 6.
</t>
        </r>
      </text>
    </comment>
    <comment ref="CF24" authorId="0">
      <text>
        <r>
          <rPr>
            <sz val="10"/>
            <color rgb="FF000000"/>
            <rFont val="Verdana"/>
          </rPr>
          <t xml:space="preserve">IAB, 2013 Actual + 2014 Estimated Canadian Internet Advertising Revenue Survey, p. 3.
</t>
        </r>
      </text>
    </comment>
  </commentList>
</comments>
</file>

<file path=xl/comments20.xml><?xml version="1.0" encoding="utf-8"?>
<comments xmlns="http://schemas.openxmlformats.org/spreadsheetml/2006/main">
  <authors>
    <author/>
  </authors>
  <commentList>
    <comment ref="G7" authorId="0">
      <text>
        <r>
          <rPr>
            <sz val="10"/>
            <color rgb="FF000000"/>
            <rFont val="Verdana"/>
          </rPr>
          <t>Lianrui Jia:
Annual Report
CRTC: 265.3</t>
        </r>
      </text>
    </comment>
    <comment ref="N7" authorId="0">
      <text>
        <r>
          <rPr>
            <sz val="10"/>
            <color rgb="FF000000"/>
            <rFont val="Verdana"/>
          </rPr>
          <t xml:space="preserve">CRTC Individual Pay and Specialty Financial Summaries. </t>
        </r>
      </text>
    </comment>
    <comment ref="V7" authorId="0">
      <text>
        <r>
          <rPr>
            <sz val="10"/>
            <color rgb="FF000000"/>
            <rFont val="Verdana"/>
          </rPr>
          <t xml:space="preserve">CRTC Individual Pay and Specialty Financial Summaries. </t>
        </r>
      </text>
    </comment>
    <comment ref="AD7" authorId="0">
      <text>
        <r>
          <rPr>
            <sz val="10"/>
            <color rgb="FF000000"/>
            <rFont val="Verdana"/>
          </rPr>
          <t xml:space="preserve">CRTC Individual Pay and Specialty Financial Summaries. </t>
        </r>
      </text>
    </comment>
    <comment ref="U20" authorId="0">
      <text>
        <r>
          <rPr>
            <sz val="10"/>
            <color rgb="FF000000"/>
            <rFont val="Verdana"/>
          </rPr>
          <t>Dwayne Winseck:
CRTC 2014 CMR p. 120.</t>
        </r>
      </text>
    </comment>
    <comment ref="AB20" authorId="0">
      <text>
        <r>
          <rPr>
            <sz val="10"/>
            <color rgb="FF000000"/>
            <rFont val="Verdana"/>
          </rPr>
          <t xml:space="preserve">CRTC's CMR 2014 Press Release. </t>
        </r>
      </text>
    </comment>
    <comment ref="K35" authorId="0">
      <text>
        <r>
          <rPr>
            <sz val="10"/>
            <color rgb="FF000000"/>
            <rFont val="Verdana"/>
          </rPr>
          <t>Estimate based on view that Google accounts for about 50% of online advertising revenue.</t>
        </r>
      </text>
    </comment>
    <comment ref="K45" authorId="0">
      <text>
        <r>
          <rPr>
            <sz val="10"/>
            <color rgb="FF000000"/>
            <rFont val="Verdana"/>
          </rPr>
          <t>Based on 18,090,640 Facebook users as of September 2012 multiplied by ARPU of $12.70/year. User numbers from  http://www.internetworldstats.com/america.htm and ARPU numbers from Facebook's Annual Report 2012, p. 37.</t>
        </r>
      </text>
    </comment>
  </commentList>
</comments>
</file>

<file path=xl/comments21.xml><?xml version="1.0" encoding="utf-8"?>
<comments xmlns="http://schemas.openxmlformats.org/spreadsheetml/2006/main">
  <authors>
    <author>Dwayne Winseck</author>
  </authors>
  <commentList>
    <comment ref="D3" authorId="0">
      <text>
        <r>
          <rPr>
            <b/>
            <sz val="9"/>
            <color indexed="81"/>
            <rFont val="Verdana"/>
          </rPr>
          <t>Dwayne Winseck:</t>
        </r>
        <r>
          <rPr>
            <sz val="9"/>
            <color indexed="81"/>
            <rFont val="Verdana"/>
          </rPr>
          <t xml:space="preserve">
U-Verse subs = 10375; DSL 6050.Total: 16425 * ARPU/mo of $42.96 from Comcast AR 2014, p. 57. </t>
        </r>
      </text>
    </comment>
    <comment ref="E3" authorId="0">
      <text>
        <r>
          <rPr>
            <b/>
            <sz val="9"/>
            <color indexed="81"/>
            <rFont val="Verdana"/>
          </rPr>
          <t>Dwayne Winseck:</t>
        </r>
        <r>
          <rPr>
            <sz val="9"/>
            <color indexed="81"/>
            <rFont val="Verdana"/>
          </rPr>
          <t xml:space="preserve">
Estimate based on 5,460000 subscribers (AT&amp;T 2013 AR, p. 19) * avg Comcast + Time Warner video ARPU, $78.45 (FCC, 2015, Comp in Video Marketplace, p. 65). Estimate includes DirecTV.</t>
        </r>
      </text>
    </comment>
    <comment ref="B4" authorId="0">
      <text>
        <r>
          <rPr>
            <b/>
            <sz val="9"/>
            <color indexed="81"/>
            <rFont val="Verdana"/>
          </rPr>
          <t>Dwayne Winseck:</t>
        </r>
        <r>
          <rPr>
            <sz val="9"/>
            <color indexed="81"/>
            <rFont val="Verdana"/>
          </rPr>
          <t xml:space="preserve">
Verizon's Wireline Mass Market" segment (Verizon, AR 2013, p. 20).</t>
        </r>
      </text>
    </comment>
    <comment ref="C4" authorId="0">
      <text>
        <r>
          <rPr>
            <b/>
            <sz val="9"/>
            <color indexed="81"/>
            <rFont val="Verdana"/>
          </rPr>
          <t>Dwayne Winseck:</t>
        </r>
        <r>
          <rPr>
            <sz val="9"/>
            <color indexed="81"/>
            <rFont val="Verdana"/>
          </rPr>
          <t xml:space="preserve">
Verizon, 2013 AR, p. 17.</t>
        </r>
      </text>
    </comment>
    <comment ref="D4" authorId="0">
      <text>
        <r>
          <rPr>
            <b/>
            <sz val="9"/>
            <color indexed="81"/>
            <rFont val="Verdana"/>
          </rPr>
          <t>Dwayne Winseck:</t>
        </r>
        <r>
          <rPr>
            <sz val="9"/>
            <color indexed="81"/>
            <rFont val="Verdana"/>
          </rPr>
          <t xml:space="preserve">
6,092 Fios subs, 2942 DSL (Verizon, 2013 AR, p. 20). Multipled by  ARPU/mo of $42.96 from Comcast AR 2014, p. 57. </t>
        </r>
      </text>
    </comment>
    <comment ref="E4" authorId="0">
      <text>
        <r>
          <rPr>
            <b/>
            <sz val="9"/>
            <color indexed="81"/>
            <rFont val="Verdana"/>
          </rPr>
          <t>Dwayne Winseck:</t>
        </r>
        <r>
          <rPr>
            <sz val="9"/>
            <color indexed="81"/>
            <rFont val="Verdana"/>
          </rPr>
          <t xml:space="preserve">
Estimate based on 5,262,000 subscribers (Verizon 2013 AR, p. 20) * avg Comcast + Time Warner video ARPU, $78.45 (FCC, 2015, Comp in Video Marketplace, p. 65)</t>
        </r>
      </text>
    </comment>
    <comment ref="D5" authorId="0">
      <text>
        <r>
          <rPr>
            <b/>
            <sz val="9"/>
            <color indexed="81"/>
            <rFont val="Verdana"/>
          </rPr>
          <t>Dwayne Winseck:</t>
        </r>
        <r>
          <rPr>
            <sz val="9"/>
            <color indexed="81"/>
            <rFont val="Verdana"/>
          </rPr>
          <t xml:space="preserve">
Comcast AR 2014, p. 57.</t>
        </r>
      </text>
    </comment>
    <comment ref="E5" authorId="0">
      <text>
        <r>
          <rPr>
            <b/>
            <sz val="9"/>
            <color indexed="81"/>
            <rFont val="Verdana"/>
          </rPr>
          <t>Dwayne Winseck:</t>
        </r>
        <r>
          <rPr>
            <sz val="9"/>
            <color indexed="81"/>
            <rFont val="Verdana"/>
          </rPr>
          <t xml:space="preserve">
Comcast AR 2014, p. 57.</t>
        </r>
      </text>
    </comment>
    <comment ref="F5" authorId="0">
      <text>
        <r>
          <rPr>
            <b/>
            <sz val="9"/>
            <color indexed="81"/>
            <rFont val="Verdana"/>
          </rPr>
          <t>Dwayne Winseck:</t>
        </r>
        <r>
          <rPr>
            <sz val="9"/>
            <color indexed="81"/>
            <rFont val="Verdana"/>
          </rPr>
          <t xml:space="preserve">
Comcast AR 2014, p. 61.</t>
        </r>
      </text>
    </comment>
    <comment ref="G5" authorId="0">
      <text>
        <r>
          <rPr>
            <b/>
            <sz val="9"/>
            <color indexed="81"/>
            <rFont val="Verdana"/>
          </rPr>
          <t>Dwayne Winseck:</t>
        </r>
        <r>
          <rPr>
            <sz val="9"/>
            <color indexed="81"/>
            <rFont val="Verdana"/>
          </rPr>
          <t xml:space="preserve">
Comcast AR 2014, p. 61.</t>
        </r>
      </text>
    </comment>
    <comment ref="I5" authorId="0">
      <text>
        <r>
          <rPr>
            <b/>
            <sz val="9"/>
            <color indexed="81"/>
            <rFont val="Verdana"/>
          </rPr>
          <t>Dwayne Winseck:</t>
        </r>
        <r>
          <rPr>
            <sz val="9"/>
            <color indexed="81"/>
            <rFont val="Verdana"/>
          </rPr>
          <t xml:space="preserve">
Used MPAA domestic/int'l film $  split, i.e. .276 after $1 billion in revenues excluded from US figures to account for Canada. MPAA, 2014, p. 4. Comcast $ = $5008 million. Comcast AR 2014, p. 61.</t>
        </r>
      </text>
    </comment>
    <comment ref="A7" authorId="0">
      <text>
        <r>
          <rPr>
            <b/>
            <sz val="9"/>
            <color indexed="81"/>
            <rFont val="Verdana"/>
          </rPr>
          <t>Dwayne Winseck:</t>
        </r>
        <r>
          <rPr>
            <sz val="9"/>
            <color indexed="81"/>
            <rFont val="Verdana"/>
          </rPr>
          <t xml:space="preserve">
Liberty/Malone owns 57% of DIRECTV, FCC, 2015, p. 17. </t>
        </r>
      </text>
    </comment>
    <comment ref="K10" authorId="0">
      <text>
        <r>
          <rPr>
            <b/>
            <sz val="9"/>
            <color indexed="81"/>
            <rFont val="Verdana"/>
          </rPr>
          <t>Dwayne Winseck:</t>
        </r>
        <r>
          <rPr>
            <sz val="9"/>
            <color indexed="81"/>
            <rFont val="Verdana"/>
          </rPr>
          <t xml:space="preserve">
Google AR 2013, pp. 24-26, multiplying revenues of former by percentage $ from US identified on p. 26. </t>
        </r>
      </text>
    </comment>
    <comment ref="F11" authorId="0">
      <text>
        <r>
          <rPr>
            <b/>
            <sz val="9"/>
            <color indexed="81"/>
            <rFont val="Verdana"/>
          </rPr>
          <t>Dwayne Winseck:</t>
        </r>
        <r>
          <rPr>
            <sz val="9"/>
            <color indexed="81"/>
            <rFont val="Verdana"/>
          </rPr>
          <t xml:space="preserve">
Includes Disney pay tv, broadcast tv, radio, online. Disney, AR 2013, p. 30.</t>
        </r>
      </text>
    </comment>
    <comment ref="I11" authorId="0">
      <text>
        <r>
          <rPr>
            <b/>
            <sz val="9"/>
            <color indexed="81"/>
            <rFont val="Verdana"/>
          </rPr>
          <t>Dwayne Winseck:</t>
        </r>
        <r>
          <rPr>
            <sz val="9"/>
            <color indexed="81"/>
            <rFont val="Verdana"/>
          </rPr>
          <t xml:space="preserve">
Used MPAA domestic/int'l film $  split, i.e. .276 after $1 billion in revenues excluded from US figures to account for Canada. MPAA, 2014, p. 4.  Disney, AR 2013, p. 40.  </t>
        </r>
      </text>
    </comment>
    <comment ref="F12" authorId="0">
      <text>
        <r>
          <rPr>
            <b/>
            <sz val="9"/>
            <color indexed="81"/>
            <rFont val="Verdana"/>
          </rPr>
          <t>Dwayne Winseck:</t>
        </r>
        <r>
          <rPr>
            <sz val="9"/>
            <color indexed="81"/>
            <rFont val="Verdana"/>
          </rPr>
          <t xml:space="preserve">
Used Viacom int'l film $  (53%) as proxy to calculate split between Time Warner's domestic and int'l pay tv $. Total 9361 (Time Warner, AR 2013, pp. 35-37).</t>
        </r>
      </text>
    </comment>
    <comment ref="I12" authorId="0">
      <text>
        <r>
          <rPr>
            <b/>
            <sz val="9"/>
            <color indexed="81"/>
            <rFont val="Verdana"/>
          </rPr>
          <t>Dwayne Winseck:</t>
        </r>
        <r>
          <rPr>
            <sz val="9"/>
            <color indexed="81"/>
            <rFont val="Verdana"/>
          </rPr>
          <t xml:space="preserve">
Used MPAA domestic/int'l film $  split, i.e. .276 after $1 billion in revenues excluded from US figures to account for Canada. MPAA, 2014, p. 4.  Time Warner AR 2014, p.36</t>
        </r>
      </text>
    </comment>
    <comment ref="F13" authorId="0">
      <text>
        <r>
          <rPr>
            <b/>
            <sz val="9"/>
            <color indexed="81"/>
            <rFont val="Verdana"/>
          </rPr>
          <t>Dwayne Winseck:</t>
        </r>
        <r>
          <rPr>
            <sz val="9"/>
            <color indexed="81"/>
            <rFont val="Verdana"/>
          </rPr>
          <t xml:space="preserve">
Total int'l sales of $10,881 million News Corp AR 2013, p. 51 * % of total $ = int'l $ as of 2012, i.e. 57%</t>
        </r>
      </text>
    </comment>
    <comment ref="I13" authorId="0">
      <text>
        <r>
          <rPr>
            <b/>
            <sz val="9"/>
            <color indexed="81"/>
            <rFont val="Verdana"/>
          </rPr>
          <t>Dwayne Winseck:</t>
        </r>
        <r>
          <rPr>
            <sz val="9"/>
            <color indexed="81"/>
            <rFont val="Verdana"/>
          </rPr>
          <t xml:space="preserve">
Used MPAA domestic/int'l film $  split, i.e. .276 after $1 billion in revenues excluded from US figures to account for Canada. MPAA, 2014, p. 4.  Total int'l sales of $8642 million News Corp AR 2013, p. 51.</t>
        </r>
      </text>
    </comment>
    <comment ref="F15" authorId="0">
      <text>
        <r>
          <rPr>
            <b/>
            <sz val="9"/>
            <color indexed="81"/>
            <rFont val="Verdana"/>
          </rPr>
          <t>Dwayne Winseck:</t>
        </r>
        <r>
          <rPr>
            <sz val="9"/>
            <color indexed="81"/>
            <rFont val="Verdana"/>
          </rPr>
          <t xml:space="preserve">
Viacom AR 2013, p. indicates that 53% of film revenue is international, rest US (with Canada included). This is used as a proxy for its US revenues. </t>
        </r>
      </text>
    </comment>
    <comment ref="I15" authorId="0">
      <text>
        <r>
          <rPr>
            <b/>
            <sz val="9"/>
            <color indexed="81"/>
            <rFont val="Verdana"/>
          </rPr>
          <t>Dwayne Winseck:</t>
        </r>
        <r>
          <rPr>
            <sz val="9"/>
            <color indexed="81"/>
            <rFont val="Verdana"/>
          </rPr>
          <t xml:space="preserve">
Viacom AR 2013, p. 42 indicates that 53% of film revenue is international, rest US (with Canada included),</t>
        </r>
      </text>
    </comment>
    <comment ref="B16" authorId="0">
      <text>
        <r>
          <rPr>
            <b/>
            <sz val="9"/>
            <color indexed="81"/>
            <rFont val="Verdana"/>
          </rPr>
          <t>Dwayne Winseck:</t>
        </r>
        <r>
          <rPr>
            <sz val="9"/>
            <color indexed="81"/>
            <rFont val="Verdana"/>
          </rPr>
          <t xml:space="preserve">
Estimate = based avg of wiredline/internet subs $ for Comcast, Time Warner + Charter</t>
        </r>
      </text>
    </comment>
    <comment ref="D16" authorId="0">
      <text>
        <r>
          <rPr>
            <b/>
            <sz val="9"/>
            <color indexed="81"/>
            <rFont val="Verdana"/>
          </rPr>
          <t>Dwayne Winseck:</t>
        </r>
        <r>
          <rPr>
            <sz val="9"/>
            <color indexed="81"/>
            <rFont val="Verdana"/>
          </rPr>
          <t xml:space="preserve">
Estimate = based avg of video/internet subs for  Comcast, Time Warner + Charter, i.e 0.549.</t>
        </r>
      </text>
    </comment>
    <comment ref="E16" authorId="0">
      <text>
        <r>
          <rPr>
            <b/>
            <sz val="9"/>
            <color indexed="81"/>
            <rFont val="Verdana"/>
          </rPr>
          <t>Dwayne Winseck:</t>
        </r>
        <r>
          <rPr>
            <sz val="9"/>
            <color indexed="81"/>
            <rFont val="Verdana"/>
          </rPr>
          <t xml:space="preserve">
4,300k subs * ARPU/mo of $78.45 from (FCC, 2015, Comp in Video Marketplace, p. 60)</t>
        </r>
      </text>
    </comment>
    <comment ref="A17" authorId="0">
      <text>
        <r>
          <rPr>
            <b/>
            <sz val="9"/>
            <color indexed="81"/>
            <rFont val="Verdana"/>
          </rPr>
          <t>Dwayne Winseck:</t>
        </r>
        <r>
          <rPr>
            <sz val="9"/>
            <color indexed="81"/>
            <rFont val="Verdana"/>
          </rPr>
          <t xml:space="preserve">
Charter 2014 AR p. 25. Liberty Broadband beneficial owners of 25.75% of Class A common stock. Substantial influence. </t>
        </r>
      </text>
    </comment>
    <comment ref="B17" authorId="0">
      <text>
        <r>
          <rPr>
            <b/>
            <sz val="9"/>
            <color indexed="81"/>
            <rFont val="Verdana"/>
          </rPr>
          <t>Dwayne Winseck:</t>
        </r>
        <r>
          <rPr>
            <sz val="9"/>
            <color indexed="81"/>
            <rFont val="Verdana"/>
          </rPr>
          <t xml:space="preserve">
Charter AR 2014, p. 46</t>
        </r>
      </text>
    </comment>
    <comment ref="D17" authorId="0">
      <text>
        <r>
          <rPr>
            <b/>
            <sz val="9"/>
            <color indexed="81"/>
            <rFont val="Verdana"/>
          </rPr>
          <t>Dwayne Winseck:</t>
        </r>
        <r>
          <rPr>
            <sz val="9"/>
            <color indexed="81"/>
            <rFont val="Verdana"/>
          </rPr>
          <t xml:space="preserve">
Charter AR 2014, p. 46</t>
        </r>
      </text>
    </comment>
    <comment ref="E17" authorId="0">
      <text>
        <r>
          <rPr>
            <b/>
            <sz val="9"/>
            <color indexed="81"/>
            <rFont val="Verdana"/>
          </rPr>
          <t>Dwayne Winseck:</t>
        </r>
        <r>
          <rPr>
            <sz val="9"/>
            <color indexed="81"/>
            <rFont val="Verdana"/>
          </rPr>
          <t xml:space="preserve">
Charter AR 2014, p. 46</t>
        </r>
      </text>
    </comment>
    <comment ref="A18" authorId="0">
      <text>
        <r>
          <rPr>
            <b/>
            <sz val="9"/>
            <color indexed="81"/>
            <rFont val="Verdana"/>
          </rPr>
          <t>Dwayne Winseck:</t>
        </r>
        <r>
          <rPr>
            <sz val="9"/>
            <color indexed="81"/>
            <rFont val="Verdana"/>
          </rPr>
          <t xml:space="preserve">
AMC Networks is a wholly owned subsidiary of Cablevision (AMC Networks AR 2013, p. 4).</t>
        </r>
      </text>
    </comment>
    <comment ref="B18" authorId="0">
      <text>
        <r>
          <rPr>
            <b/>
            <sz val="9"/>
            <color indexed="81"/>
            <rFont val="Verdana"/>
          </rPr>
          <t>Dwayne Winseck:</t>
        </r>
        <r>
          <rPr>
            <sz val="9"/>
            <color indexed="81"/>
            <rFont val="Verdana"/>
          </rPr>
          <t xml:space="preserve">
Cablevision, AR 2013, p. 56).</t>
        </r>
      </text>
    </comment>
    <comment ref="D18" authorId="0">
      <text>
        <r>
          <rPr>
            <b/>
            <sz val="9"/>
            <color indexed="81"/>
            <rFont val="Verdana"/>
          </rPr>
          <t>Dwayne Winseck:</t>
        </r>
        <r>
          <rPr>
            <sz val="9"/>
            <color indexed="81"/>
            <rFont val="Verdana"/>
          </rPr>
          <t xml:space="preserve">
Cablevision, AR 2013, p. 56).</t>
        </r>
      </text>
    </comment>
    <comment ref="E18" authorId="0">
      <text>
        <r>
          <rPr>
            <b/>
            <sz val="9"/>
            <color indexed="81"/>
            <rFont val="Verdana"/>
          </rPr>
          <t>Dwayne Winseck:</t>
        </r>
        <r>
          <rPr>
            <sz val="9"/>
            <color indexed="81"/>
            <rFont val="Verdana"/>
          </rPr>
          <t xml:space="preserve">
Cablevision, AR 2013, p. 56). </t>
        </r>
      </text>
    </comment>
    <comment ref="F18" authorId="0">
      <text>
        <r>
          <rPr>
            <b/>
            <sz val="9"/>
            <color indexed="81"/>
            <rFont val="Verdana"/>
          </rPr>
          <t>Dwayne Winseck:</t>
        </r>
        <r>
          <rPr>
            <sz val="9"/>
            <color indexed="81"/>
            <rFont val="Verdana"/>
          </rPr>
          <t xml:space="preserve">
AMC Networks AR 2013, p. 32.</t>
        </r>
      </text>
    </comment>
    <comment ref="B19" authorId="0">
      <text>
        <r>
          <rPr>
            <b/>
            <sz val="9"/>
            <color indexed="81"/>
            <rFont val="Verdana"/>
          </rPr>
          <t>Dwayne Winseck:</t>
        </r>
        <r>
          <rPr>
            <sz val="9"/>
            <color indexed="81"/>
            <rFont val="Verdana"/>
          </rPr>
          <t xml:space="preserve">
Company refers to itself as $6b company in 2013 AR, p. 6. This figure = residual after estimating internet access and MVPD revenues. </t>
        </r>
      </text>
    </comment>
    <comment ref="D19" authorId="0">
      <text>
        <r>
          <rPr>
            <b/>
            <sz val="9"/>
            <color indexed="81"/>
            <rFont val="Verdana"/>
          </rPr>
          <t>Dwayne Winseck:</t>
        </r>
        <r>
          <rPr>
            <sz val="9"/>
            <color indexed="81"/>
            <rFont val="Verdana"/>
          </rPr>
          <t xml:space="preserve">
Estimate = based avg of video/internet subs for  AT&amp;T and Verizon, i.e 0.549</t>
        </r>
      </text>
    </comment>
    <comment ref="E19" authorId="0">
      <text>
        <r>
          <rPr>
            <b/>
            <sz val="9"/>
            <color indexed="81"/>
            <rFont val="Verdana"/>
          </rPr>
          <t>Dwayne Winseck:</t>
        </r>
        <r>
          <rPr>
            <sz val="9"/>
            <color indexed="81"/>
            <rFont val="Verdana"/>
          </rPr>
          <t xml:space="preserve">
2813k subs subs * ARPU/mo of $78.45 from (FCC, 2015, Comp in Video Marketplace, p. 65 (CenturyLink, 2014 AR</t>
        </r>
      </text>
    </comment>
    <comment ref="F20" authorId="0">
      <text>
        <r>
          <rPr>
            <b/>
            <sz val="9"/>
            <color indexed="81"/>
            <rFont val="Verdana"/>
          </rPr>
          <t>Dwayne Winseck:</t>
        </r>
        <r>
          <rPr>
            <sz val="9"/>
            <color indexed="81"/>
            <rFont val="Verdana"/>
          </rPr>
          <t xml:space="preserve">
CBS AR 2014, p. II 13</t>
        </r>
      </text>
    </comment>
    <comment ref="G20" authorId="0">
      <text>
        <r>
          <rPr>
            <b/>
            <sz val="9"/>
            <color indexed="81"/>
            <rFont val="Verdana"/>
          </rPr>
          <t>Dwayne Winseck:</t>
        </r>
        <r>
          <rPr>
            <sz val="9"/>
            <color indexed="81"/>
            <rFont val="Verdana"/>
          </rPr>
          <t xml:space="preserve">
CBS AR 2014, p. II 13</t>
        </r>
      </text>
    </comment>
    <comment ref="B21" authorId="0">
      <text>
        <r>
          <rPr>
            <b/>
            <sz val="9"/>
            <color indexed="81"/>
            <rFont val="Verdana"/>
          </rPr>
          <t>Dwayne Winseck:</t>
        </r>
        <r>
          <rPr>
            <sz val="9"/>
            <color indexed="81"/>
            <rFont val="Verdana"/>
          </rPr>
          <t xml:space="preserve">
Estimate based on avg of wiredline/internet subs $ for Comcast, Time Warner + Charter, i.e. 0.322</t>
        </r>
      </text>
    </comment>
    <comment ref="D21" authorId="0">
      <text>
        <r>
          <rPr>
            <b/>
            <sz val="9"/>
            <color indexed="81"/>
            <rFont val="Verdana"/>
          </rPr>
          <t>Dwayne Winseck:</t>
        </r>
        <r>
          <rPr>
            <sz val="9"/>
            <color indexed="81"/>
            <rFont val="Verdana"/>
          </rPr>
          <t xml:space="preserve">
Estimate = based avg of video/internet subs for  Comcast, Time Warner + Charter, i.e 0.549.</t>
        </r>
      </text>
    </comment>
    <comment ref="E21" authorId="0">
      <text>
        <r>
          <rPr>
            <b/>
            <sz val="9"/>
            <color indexed="81"/>
            <rFont val="Verdana"/>
          </rPr>
          <t>Dwayne Winseck:</t>
        </r>
        <r>
          <rPr>
            <sz val="9"/>
            <color indexed="81"/>
            <rFont val="Verdana"/>
          </rPr>
          <t xml:space="preserve">
Wikipedia. 2.5 million subscribers.</t>
        </r>
      </text>
    </comment>
    <comment ref="A22" authorId="0">
      <text>
        <r>
          <rPr>
            <b/>
            <sz val="9"/>
            <color indexed="81"/>
            <rFont val="Verdana"/>
          </rPr>
          <t>Dwayne Winseck:</t>
        </r>
        <r>
          <rPr>
            <sz val="9"/>
            <color indexed="81"/>
            <rFont val="Verdana"/>
          </rPr>
          <t xml:space="preserve">
Liberty is considered vertically integrated because of the overlapping ownership and directors between it and Charter.  Malone/Liberty has 26% ownership stake in Charter (check). FCC considers to be under common ownership (FCC, 2015). Comp in Video, p. 31). Liberty/Malone owns 57% of DIRECTV.
 </t>
        </r>
      </text>
    </comment>
    <comment ref="F22" authorId="0">
      <text>
        <r>
          <rPr>
            <b/>
            <sz val="9"/>
            <color indexed="81"/>
            <rFont val="Verdana"/>
          </rPr>
          <t>Dwayne Winseck:</t>
        </r>
        <r>
          <rPr>
            <sz val="9"/>
            <color indexed="81"/>
            <rFont val="Verdana"/>
          </rPr>
          <t xml:space="preserve">
Starz AR 2013, p. F-8.</t>
        </r>
      </text>
    </comment>
    <comment ref="J22" authorId="0">
      <text>
        <r>
          <rPr>
            <b/>
            <sz val="9"/>
            <color indexed="81"/>
            <rFont val="Verdana"/>
          </rPr>
          <t>Dwayne Winseck:</t>
        </r>
        <r>
          <rPr>
            <sz val="9"/>
            <color indexed="81"/>
            <rFont val="Verdana"/>
          </rPr>
          <t xml:space="preserve">
Total int'l sales of $2625 million Liberty AR 2013, p. II8 * avg int'l revenues for Top 12 Global Media Cos as of 2012, i.e. 36.1%.</t>
        </r>
      </text>
    </comment>
    <comment ref="F23" authorId="0">
      <text>
        <r>
          <rPr>
            <b/>
            <sz val="9"/>
            <color indexed="81"/>
            <rFont val="Verdana"/>
          </rPr>
          <t>Dwayne Winseck:</t>
        </r>
        <r>
          <rPr>
            <sz val="9"/>
            <color indexed="81"/>
            <rFont val="Verdana"/>
          </rPr>
          <t xml:space="preserve">
Discovery Communications, AR 2013, p. 30.</t>
        </r>
      </text>
    </comment>
    <comment ref="K24" authorId="0">
      <text>
        <r>
          <rPr>
            <b/>
            <sz val="9"/>
            <color indexed="81"/>
            <rFont val="Verdana"/>
          </rPr>
          <t>Dwayne Winseck:</t>
        </r>
        <r>
          <rPr>
            <sz val="9"/>
            <color indexed="81"/>
            <rFont val="Verdana"/>
          </rPr>
          <t xml:space="preserve">
Facebook AR 2013, p. 46 minus estimated Canadian revenue of $355.3 million.</t>
        </r>
      </text>
    </comment>
    <comment ref="H25" authorId="0">
      <text>
        <r>
          <rPr>
            <b/>
            <sz val="9"/>
            <color indexed="81"/>
            <rFont val="Verdana"/>
          </rPr>
          <t>Dwayne Winseck:</t>
        </r>
        <r>
          <rPr>
            <sz val="9"/>
            <color indexed="81"/>
            <rFont val="Verdana"/>
          </rPr>
          <t xml:space="preserve">
Netflix AR 2013, p. 19. </t>
        </r>
      </text>
    </comment>
    <comment ref="G27" authorId="0">
      <text>
        <r>
          <rPr>
            <b/>
            <sz val="9"/>
            <color indexed="81"/>
            <rFont val="Verdana"/>
          </rPr>
          <t>Dwayne Winseck:</t>
        </r>
        <r>
          <rPr>
            <sz val="9"/>
            <color indexed="81"/>
            <rFont val="Verdana"/>
          </rPr>
          <t xml:space="preserve">
FCC Comp in Video, p. 96.</t>
        </r>
      </text>
    </comment>
    <comment ref="B29" authorId="0">
      <text>
        <r>
          <rPr>
            <b/>
            <sz val="9"/>
            <color indexed="81"/>
            <rFont val="Verdana"/>
          </rPr>
          <t>Dwayne Winseck:</t>
        </r>
        <r>
          <rPr>
            <sz val="9"/>
            <color indexed="81"/>
            <rFont val="Verdana"/>
          </rPr>
          <t xml:space="preserve">
U.S. Census Bureau, Census Services Annual Survey, Latest Annual Services Report 517111 Table 8 (Fixed local telephony, long distance, subscriber line charges).</t>
        </r>
      </text>
    </comment>
    <comment ref="C29" authorId="0">
      <text>
        <r>
          <rPr>
            <b/>
            <sz val="9"/>
            <color indexed="81"/>
            <rFont val="Verdana"/>
          </rPr>
          <t>Dwayne Winseck:</t>
        </r>
        <r>
          <rPr>
            <sz val="9"/>
            <color indexed="81"/>
            <rFont val="Verdana"/>
          </rPr>
          <t xml:space="preserve">
http://www.fcc.gov/reports/mobile-wireless-competition-report-17th-annual</t>
        </r>
      </text>
    </comment>
    <comment ref="D29" authorId="0">
      <text>
        <r>
          <rPr>
            <b/>
            <sz val="9"/>
            <color indexed="81"/>
            <rFont val="Verdana"/>
          </rPr>
          <t>Dwayne Winseck:</t>
        </r>
        <r>
          <rPr>
            <sz val="9"/>
            <color indexed="81"/>
            <rFont val="Verdana"/>
          </rPr>
          <t xml:space="preserve">
Estimate based on weighted avg between telco and cablecos video/internet subs, ie. 1.3 and .55, respectively. In other words, telcos have 1.3 HSIA subs for every MVPD sub; for cablescos, just over have (55%) also take HSIA with their cable TV subs. SNL Kagan est. 87m HSIA subs end of 2013 * est. ARPU $42.96 = $44.85nb (FCC, 2015 Comp in Video, p. 121)</t>
        </r>
      </text>
    </comment>
    <comment ref="E29" authorId="0">
      <text>
        <r>
          <rPr>
            <b/>
            <sz val="9"/>
            <color indexed="81"/>
            <rFont val="Verdana"/>
          </rPr>
          <t>Dwayne Winseck:</t>
        </r>
        <r>
          <rPr>
            <sz val="9"/>
            <color indexed="81"/>
            <rFont val="Verdana"/>
          </rPr>
          <t xml:space="preserve">
Sum of cable MVPD $51.8b; DTH ($38.6b) + telcos TV (13.5b)</t>
        </r>
      </text>
    </comment>
    <comment ref="F29" authorId="0">
      <text>
        <r>
          <rPr>
            <b/>
            <sz val="9"/>
            <color indexed="81"/>
            <rFont val="Verdana"/>
          </rPr>
          <t>Dwayne Winseck:</t>
        </r>
        <r>
          <rPr>
            <sz val="9"/>
            <color indexed="81"/>
            <rFont val="Verdana"/>
          </rPr>
          <t xml:space="preserve">
Estimate based on same pay TV/MVPD ratio as in Canada, i.e. .4551</t>
        </r>
      </text>
    </comment>
    <comment ref="G29" authorId="0">
      <text>
        <r>
          <rPr>
            <b/>
            <sz val="9"/>
            <color indexed="81"/>
            <rFont val="Verdana"/>
          </rPr>
          <t>Dwayne Winseck:</t>
        </r>
        <r>
          <rPr>
            <sz val="9"/>
            <color indexed="81"/>
            <rFont val="Verdana"/>
          </rPr>
          <t xml:space="preserve">
FCC (2015). Competition in Video Market, p. 90.</t>
        </r>
      </text>
    </comment>
    <comment ref="H29" authorId="0">
      <text>
        <r>
          <rPr>
            <b/>
            <sz val="9"/>
            <color indexed="81"/>
            <rFont val="Verdana"/>
          </rPr>
          <t>Dwayne Winseck:</t>
        </r>
        <r>
          <rPr>
            <sz val="9"/>
            <color indexed="81"/>
            <rFont val="Verdana"/>
          </rPr>
          <t xml:space="preserve">
FCC (2015). Competition in Video Market, p. 149.</t>
        </r>
      </text>
    </comment>
    <comment ref="I29" authorId="0">
      <text>
        <r>
          <rPr>
            <b/>
            <sz val="9"/>
            <color indexed="81"/>
            <rFont val="Verdana"/>
          </rPr>
          <t>Dwayne Winseck:</t>
        </r>
        <r>
          <rPr>
            <sz val="9"/>
            <color indexed="81"/>
            <rFont val="Verdana"/>
          </rPr>
          <t xml:space="preserve">
MPAA domestic/int'l film $  split - $1 billion to account for Canada. MPAA, 2014, p. 4. </t>
        </r>
      </text>
    </comment>
    <comment ref="D39" authorId="0">
      <text>
        <r>
          <rPr>
            <b/>
            <sz val="9"/>
            <color indexed="81"/>
            <rFont val="Verdana"/>
          </rPr>
          <t>Dwayne Winseck:</t>
        </r>
        <r>
          <rPr>
            <sz val="9"/>
            <color indexed="81"/>
            <rFont val="Verdana"/>
          </rPr>
          <t xml:space="preserve">
Comcast AR 2014, p. 57.</t>
        </r>
      </text>
    </comment>
    <comment ref="E39" authorId="0">
      <text>
        <r>
          <rPr>
            <b/>
            <sz val="9"/>
            <color indexed="81"/>
            <rFont val="Verdana"/>
          </rPr>
          <t>Dwayne Winseck:</t>
        </r>
        <r>
          <rPr>
            <sz val="9"/>
            <color indexed="81"/>
            <rFont val="Verdana"/>
          </rPr>
          <t xml:space="preserve">
Comcast AR 2014, p. 57.</t>
        </r>
      </text>
    </comment>
    <comment ref="F39" authorId="0">
      <text>
        <r>
          <rPr>
            <b/>
            <sz val="9"/>
            <color indexed="81"/>
            <rFont val="Verdana"/>
          </rPr>
          <t>Dwayne Winseck:</t>
        </r>
        <r>
          <rPr>
            <sz val="9"/>
            <color indexed="81"/>
            <rFont val="Verdana"/>
          </rPr>
          <t xml:space="preserve">
Comcast AR 2014, p. 61.</t>
        </r>
      </text>
    </comment>
    <comment ref="G39" authorId="0">
      <text>
        <r>
          <rPr>
            <b/>
            <sz val="9"/>
            <color indexed="81"/>
            <rFont val="Verdana"/>
          </rPr>
          <t>Dwayne Winseck:</t>
        </r>
        <r>
          <rPr>
            <sz val="9"/>
            <color indexed="81"/>
            <rFont val="Verdana"/>
          </rPr>
          <t xml:space="preserve">
Comcast AR 2014, p. 61.</t>
        </r>
      </text>
    </comment>
    <comment ref="D41" authorId="0">
      <text>
        <r>
          <rPr>
            <b/>
            <sz val="9"/>
            <color indexed="81"/>
            <rFont val="Verdana"/>
          </rPr>
          <t>Dwayne Winseck:</t>
        </r>
        <r>
          <rPr>
            <sz val="9"/>
            <color indexed="81"/>
            <rFont val="Verdana"/>
          </rPr>
          <t xml:space="preserve">
Estimate = based avg of video/internet subs for  Comcast, Time Warner + Charter, i.e 0.549.</t>
        </r>
      </text>
    </comment>
    <comment ref="E41" authorId="0">
      <text>
        <r>
          <rPr>
            <b/>
            <sz val="9"/>
            <color indexed="81"/>
            <rFont val="Verdana"/>
          </rPr>
          <t>Dwayne Winseck:</t>
        </r>
        <r>
          <rPr>
            <sz val="9"/>
            <color indexed="81"/>
            <rFont val="Verdana"/>
          </rPr>
          <t xml:space="preserve">
4,300k subs * ARPU/mo of $78.45 from (FCC, 2015, Comp in Video Marketplace, p. 60)</t>
        </r>
      </text>
    </comment>
    <comment ref="C42" authorId="0">
      <text>
        <r>
          <rPr>
            <b/>
            <sz val="9"/>
            <color indexed="81"/>
            <rFont val="Verdana"/>
          </rPr>
          <t>Dwayne Winseck:</t>
        </r>
        <r>
          <rPr>
            <sz val="9"/>
            <color indexed="81"/>
            <rFont val="Verdana"/>
          </rPr>
          <t xml:space="preserve">
Charter 2014 AR p. 25. Liberty Broadband beneficial owners of 25.75% of Class A common stock. Substantial influence. </t>
        </r>
      </text>
    </comment>
    <comment ref="D42" authorId="0">
      <text>
        <r>
          <rPr>
            <b/>
            <sz val="9"/>
            <color indexed="81"/>
            <rFont val="Verdana"/>
          </rPr>
          <t>Dwayne Winseck:</t>
        </r>
        <r>
          <rPr>
            <sz val="9"/>
            <color indexed="81"/>
            <rFont val="Verdana"/>
          </rPr>
          <t xml:space="preserve">
Charter AR 2014, p. 46</t>
        </r>
      </text>
    </comment>
    <comment ref="E42" authorId="0">
      <text>
        <r>
          <rPr>
            <b/>
            <sz val="9"/>
            <color indexed="81"/>
            <rFont val="Verdana"/>
          </rPr>
          <t>Dwayne Winseck:</t>
        </r>
        <r>
          <rPr>
            <sz val="9"/>
            <color indexed="81"/>
            <rFont val="Verdana"/>
          </rPr>
          <t xml:space="preserve">
Charter AR 2014, p. 46</t>
        </r>
      </text>
    </comment>
    <comment ref="C43" authorId="0">
      <text>
        <r>
          <rPr>
            <b/>
            <sz val="9"/>
            <color indexed="81"/>
            <rFont val="Verdana"/>
          </rPr>
          <t>Dwayne Winseck:</t>
        </r>
        <r>
          <rPr>
            <sz val="9"/>
            <color indexed="81"/>
            <rFont val="Verdana"/>
          </rPr>
          <t xml:space="preserve">
Liberty is considered vertically integrated because of the overlapping ownership and directors between it and Charter.  Malone/Liberty has 26% ownership stake in Charter (check). FCC considers to be under common ownership (FCC, 2015). Comp in Video, p. ). Liberty/Malone owns 57% of DIRECTV.
 </t>
        </r>
      </text>
    </comment>
    <comment ref="F43" authorId="0">
      <text>
        <r>
          <rPr>
            <b/>
            <sz val="9"/>
            <color indexed="81"/>
            <rFont val="Verdana"/>
          </rPr>
          <t>Dwayne Winseck:</t>
        </r>
        <r>
          <rPr>
            <sz val="9"/>
            <color indexed="81"/>
            <rFont val="Verdana"/>
          </rPr>
          <t xml:space="preserve">
Starz AR 2013, p. F-8.</t>
        </r>
      </text>
    </comment>
    <comment ref="D45" authorId="0">
      <text>
        <r>
          <rPr>
            <b/>
            <sz val="9"/>
            <color indexed="81"/>
            <rFont val="Verdana"/>
          </rPr>
          <t>Dwayne Winseck:</t>
        </r>
        <r>
          <rPr>
            <sz val="9"/>
            <color indexed="81"/>
            <rFont val="Verdana"/>
          </rPr>
          <t xml:space="preserve">
Estimate based on weighted avg between telco and cablecos video/internet subs, ie. 1.3 and .55, respectively. In other words, telcos have 1.3 HSIA subs for every MVPD sub; for cablescos, just over have (55%) also take HSIA with their cable TV subs.</t>
        </r>
      </text>
    </comment>
    <comment ref="E45" authorId="0">
      <text>
        <r>
          <rPr>
            <b/>
            <sz val="9"/>
            <color indexed="81"/>
            <rFont val="Verdana"/>
          </rPr>
          <t>Dwayne Winseck:</t>
        </r>
        <r>
          <rPr>
            <sz val="9"/>
            <color indexed="81"/>
            <rFont val="Verdana"/>
          </rPr>
          <t xml:space="preserve">
Sum of cable MVPD $51.8b; DTH ($38.6b) + telcos TV (13.5b)</t>
        </r>
      </text>
    </comment>
    <comment ref="F45" authorId="0">
      <text>
        <r>
          <rPr>
            <b/>
            <sz val="9"/>
            <color indexed="81"/>
            <rFont val="Verdana"/>
          </rPr>
          <t>Dwayne Winseck:</t>
        </r>
        <r>
          <rPr>
            <sz val="9"/>
            <color indexed="81"/>
            <rFont val="Verdana"/>
          </rPr>
          <t xml:space="preserve">
Estimate based on same pay TV/MVPD ratio as in Canada, i.e. .4551</t>
        </r>
      </text>
    </comment>
    <comment ref="G45" authorId="0">
      <text>
        <r>
          <rPr>
            <b/>
            <sz val="9"/>
            <color indexed="81"/>
            <rFont val="Verdana"/>
          </rPr>
          <t>Dwayne Winseck:</t>
        </r>
        <r>
          <rPr>
            <sz val="9"/>
            <color indexed="81"/>
            <rFont val="Verdana"/>
          </rPr>
          <t xml:space="preserve">
FCC (2015). Competition in Video Market, p. 90.</t>
        </r>
      </text>
    </comment>
    <comment ref="D50" authorId="0">
      <text>
        <r>
          <rPr>
            <b/>
            <sz val="9"/>
            <color indexed="81"/>
            <rFont val="Verdana"/>
          </rPr>
          <t>Dwayne Winseck:</t>
        </r>
        <r>
          <rPr>
            <sz val="9"/>
            <color indexed="81"/>
            <rFont val="Verdana"/>
          </rPr>
          <t xml:space="preserve">
Comcast AR 2014, p. 57.</t>
        </r>
      </text>
    </comment>
    <comment ref="E50" authorId="0">
      <text>
        <r>
          <rPr>
            <b/>
            <sz val="9"/>
            <color indexed="81"/>
            <rFont val="Verdana"/>
          </rPr>
          <t>Dwayne Winseck:</t>
        </r>
        <r>
          <rPr>
            <sz val="9"/>
            <color indexed="81"/>
            <rFont val="Verdana"/>
          </rPr>
          <t xml:space="preserve">
Comcast AR 2014, p. 57.</t>
        </r>
      </text>
    </comment>
    <comment ref="F50" authorId="0">
      <text>
        <r>
          <rPr>
            <b/>
            <sz val="9"/>
            <color indexed="81"/>
            <rFont val="Verdana"/>
          </rPr>
          <t>Dwayne Winseck:</t>
        </r>
        <r>
          <rPr>
            <sz val="9"/>
            <color indexed="81"/>
            <rFont val="Verdana"/>
          </rPr>
          <t xml:space="preserve">
Comcast AR 2014, p. 61.</t>
        </r>
      </text>
    </comment>
    <comment ref="D52" authorId="0">
      <text>
        <r>
          <rPr>
            <b/>
            <sz val="9"/>
            <color indexed="81"/>
            <rFont val="Verdana"/>
          </rPr>
          <t>Dwayne Winseck:</t>
        </r>
        <r>
          <rPr>
            <sz val="9"/>
            <color indexed="81"/>
            <rFont val="Verdana"/>
          </rPr>
          <t xml:space="preserve">
Estimate = based avg of video/internet subs for  Comcast, Time Warner + Charter, i.e 0.549.</t>
        </r>
      </text>
    </comment>
    <comment ref="E52" authorId="0">
      <text>
        <r>
          <rPr>
            <b/>
            <sz val="9"/>
            <color indexed="81"/>
            <rFont val="Verdana"/>
          </rPr>
          <t>Dwayne Winseck:</t>
        </r>
        <r>
          <rPr>
            <sz val="9"/>
            <color indexed="81"/>
            <rFont val="Verdana"/>
          </rPr>
          <t xml:space="preserve">
4,300k subs * ARPU/mo of $78.45 from (FCC, 2015, Comp in Video Marketplace, p. 60)</t>
        </r>
      </text>
    </comment>
    <comment ref="C53" authorId="0">
      <text>
        <r>
          <rPr>
            <b/>
            <sz val="9"/>
            <color indexed="81"/>
            <rFont val="Verdana"/>
          </rPr>
          <t>Dwayne Winseck:</t>
        </r>
        <r>
          <rPr>
            <sz val="9"/>
            <color indexed="81"/>
            <rFont val="Verdana"/>
          </rPr>
          <t xml:space="preserve">
Charter 2014 AR p. 25. Liberty Broadband beneficial owners of 25.75% of Class A common stock. Substantial influence. </t>
        </r>
      </text>
    </comment>
    <comment ref="D53" authorId="0">
      <text>
        <r>
          <rPr>
            <b/>
            <sz val="9"/>
            <color indexed="81"/>
            <rFont val="Verdana"/>
          </rPr>
          <t>Dwayne Winseck:</t>
        </r>
        <r>
          <rPr>
            <sz val="9"/>
            <color indexed="81"/>
            <rFont val="Verdana"/>
          </rPr>
          <t xml:space="preserve">
Charter AR 2014, p. 46</t>
        </r>
      </text>
    </comment>
    <comment ref="E53" authorId="0">
      <text>
        <r>
          <rPr>
            <b/>
            <sz val="9"/>
            <color indexed="81"/>
            <rFont val="Verdana"/>
          </rPr>
          <t>Dwayne Winseck:</t>
        </r>
        <r>
          <rPr>
            <sz val="9"/>
            <color indexed="81"/>
            <rFont val="Verdana"/>
          </rPr>
          <t xml:space="preserve">
Charter AR 2014, p. 46</t>
        </r>
      </text>
    </comment>
    <comment ref="C54" authorId="0">
      <text>
        <r>
          <rPr>
            <b/>
            <sz val="9"/>
            <color indexed="81"/>
            <rFont val="Verdana"/>
          </rPr>
          <t>Dwayne Winseck:</t>
        </r>
        <r>
          <rPr>
            <sz val="9"/>
            <color indexed="81"/>
            <rFont val="Verdana"/>
          </rPr>
          <t xml:space="preserve">
Liberty is considered vertically integrated because of the overlapping ownership and directors between it and Charter.  Malone/Liberty has 26% ownership stake in Charter (check). FCC considers to be under common ownership (FCC, 2015). Comp in Video, p. ). Liberty/Malone owns 57% of DIRECTV.
 </t>
        </r>
      </text>
    </comment>
    <comment ref="F54" authorId="0">
      <text>
        <r>
          <rPr>
            <b/>
            <sz val="9"/>
            <color indexed="81"/>
            <rFont val="Verdana"/>
          </rPr>
          <t>Dwayne Winseck:</t>
        </r>
        <r>
          <rPr>
            <sz val="9"/>
            <color indexed="81"/>
            <rFont val="Verdana"/>
          </rPr>
          <t xml:space="preserve">
Starz AR 2013, p. F-8.</t>
        </r>
      </text>
    </comment>
    <comment ref="D56" authorId="0">
      <text>
        <r>
          <rPr>
            <b/>
            <sz val="9"/>
            <color indexed="81"/>
            <rFont val="Verdana"/>
          </rPr>
          <t>Dwayne Winseck:</t>
        </r>
        <r>
          <rPr>
            <sz val="9"/>
            <color indexed="81"/>
            <rFont val="Verdana"/>
          </rPr>
          <t xml:space="preserve">
Estimate based on weighted avg between telco and cablecos video/internet subs, ie. 1.3 and .55, respectively. In other words, telcos have 1.3 HSIA subs for every MVPD sub; for cablescos, just over have (55%) also take HSIA with their cable TV subs.</t>
        </r>
      </text>
    </comment>
    <comment ref="E56" authorId="0">
      <text>
        <r>
          <rPr>
            <b/>
            <sz val="9"/>
            <color indexed="81"/>
            <rFont val="Verdana"/>
          </rPr>
          <t>Dwayne Winseck:</t>
        </r>
        <r>
          <rPr>
            <sz val="9"/>
            <color indexed="81"/>
            <rFont val="Verdana"/>
          </rPr>
          <t xml:space="preserve">
Sum of cable MVPD $51.8b; DTH ($38.6b) + telcos TV (13.5b)</t>
        </r>
      </text>
    </comment>
    <comment ref="F56" authorId="0">
      <text>
        <r>
          <rPr>
            <b/>
            <sz val="9"/>
            <color indexed="81"/>
            <rFont val="Verdana"/>
          </rPr>
          <t>Dwayne Winseck:</t>
        </r>
        <r>
          <rPr>
            <sz val="9"/>
            <color indexed="81"/>
            <rFont val="Verdana"/>
          </rPr>
          <t xml:space="preserve">
Estimate based on same pay TV/MVPD ratio as in Canada, i.e. .4551</t>
        </r>
      </text>
    </comment>
    <comment ref="D60" authorId="0">
      <text>
        <r>
          <rPr>
            <b/>
            <sz val="9"/>
            <color indexed="81"/>
            <rFont val="Verdana"/>
          </rPr>
          <t>Dwayne Winseck:</t>
        </r>
        <r>
          <rPr>
            <sz val="9"/>
            <color indexed="81"/>
            <rFont val="Verdana"/>
          </rPr>
          <t xml:space="preserve">
Comcast AR 2014, p. 57.</t>
        </r>
      </text>
    </comment>
    <comment ref="E60" authorId="0">
      <text>
        <r>
          <rPr>
            <b/>
            <sz val="9"/>
            <color indexed="81"/>
            <rFont val="Verdana"/>
          </rPr>
          <t>Dwayne Winseck:</t>
        </r>
        <r>
          <rPr>
            <sz val="9"/>
            <color indexed="81"/>
            <rFont val="Verdana"/>
          </rPr>
          <t xml:space="preserve">
Comcast AR 2014, p. 61.</t>
        </r>
      </text>
    </comment>
    <comment ref="D62" authorId="0">
      <text>
        <r>
          <rPr>
            <b/>
            <sz val="9"/>
            <color indexed="81"/>
            <rFont val="Verdana"/>
          </rPr>
          <t>Dwayne Winseck:</t>
        </r>
        <r>
          <rPr>
            <sz val="9"/>
            <color indexed="81"/>
            <rFont val="Verdana"/>
          </rPr>
          <t xml:space="preserve">
4,300k subs * ARPU/mo of $78.45 from (FCC, 2015, Comp in Video Marketplace, p. 60)</t>
        </r>
      </text>
    </comment>
    <comment ref="C63" authorId="0">
      <text>
        <r>
          <rPr>
            <b/>
            <sz val="9"/>
            <color indexed="81"/>
            <rFont val="Verdana"/>
          </rPr>
          <t>Dwayne Winseck:</t>
        </r>
        <r>
          <rPr>
            <sz val="9"/>
            <color indexed="81"/>
            <rFont val="Verdana"/>
          </rPr>
          <t xml:space="preserve">
Charter 2014 AR p. 25. Liberty Broadband beneficial owners of 25.75% of Class A common stock. Substantial influence. </t>
        </r>
      </text>
    </comment>
    <comment ref="D63" authorId="0">
      <text>
        <r>
          <rPr>
            <b/>
            <sz val="9"/>
            <color indexed="81"/>
            <rFont val="Verdana"/>
          </rPr>
          <t>Dwayne Winseck:</t>
        </r>
        <r>
          <rPr>
            <sz val="9"/>
            <color indexed="81"/>
            <rFont val="Verdana"/>
          </rPr>
          <t xml:space="preserve">
Charter AR 2014, p. 46</t>
        </r>
      </text>
    </comment>
    <comment ref="C64" authorId="0">
      <text>
        <r>
          <rPr>
            <b/>
            <sz val="9"/>
            <color indexed="81"/>
            <rFont val="Verdana"/>
          </rPr>
          <t>Dwayne Winseck:</t>
        </r>
        <r>
          <rPr>
            <sz val="9"/>
            <color indexed="81"/>
            <rFont val="Verdana"/>
          </rPr>
          <t xml:space="preserve">
Liberty is considered vertically integrated because of the overlapping ownership and directors between it and Charter.  Malone/Liberty has 26% ownership stake in Charter (check). FCC considers to be under common ownership (FCC, 2015). Comp in Video, p. ). Liberty/Malone owns 57% of DIRECTV.
 </t>
        </r>
      </text>
    </comment>
    <comment ref="E64" authorId="0">
      <text>
        <r>
          <rPr>
            <b/>
            <sz val="9"/>
            <color indexed="81"/>
            <rFont val="Verdana"/>
          </rPr>
          <t>Dwayne Winseck:</t>
        </r>
        <r>
          <rPr>
            <sz val="9"/>
            <color indexed="81"/>
            <rFont val="Verdana"/>
          </rPr>
          <t xml:space="preserve">
Starz AR 2013, p. F-8.</t>
        </r>
      </text>
    </comment>
    <comment ref="D66" authorId="0">
      <text>
        <r>
          <rPr>
            <b/>
            <sz val="9"/>
            <color indexed="81"/>
            <rFont val="Verdana"/>
          </rPr>
          <t>Dwayne Winseck:</t>
        </r>
        <r>
          <rPr>
            <sz val="9"/>
            <color indexed="81"/>
            <rFont val="Verdana"/>
          </rPr>
          <t xml:space="preserve">
Sum of cable MVPD $51.8b; DTH ($38.6b) + telcos TV (13.5b)</t>
        </r>
      </text>
    </comment>
    <comment ref="E66" authorId="0">
      <text>
        <r>
          <rPr>
            <b/>
            <sz val="9"/>
            <color indexed="81"/>
            <rFont val="Verdana"/>
          </rPr>
          <t>Dwayne Winseck:</t>
        </r>
        <r>
          <rPr>
            <sz val="9"/>
            <color indexed="81"/>
            <rFont val="Verdana"/>
          </rPr>
          <t xml:space="preserve">
Estimate based on same pay TV/MVPD ratio as in Canada, i.e. .4551</t>
        </r>
      </text>
    </comment>
    <comment ref="B73" authorId="0">
      <text>
        <r>
          <rPr>
            <b/>
            <sz val="9"/>
            <color indexed="81"/>
            <rFont val="Verdana"/>
          </rPr>
          <t>Dwayne Winseck:</t>
        </r>
        <r>
          <rPr>
            <sz val="9"/>
            <color indexed="81"/>
            <rFont val="Verdana"/>
          </rPr>
          <t xml:space="preserve">
Comcast AR 2014, p. 57.</t>
        </r>
      </text>
    </comment>
    <comment ref="C73" authorId="0">
      <text>
        <r>
          <rPr>
            <b/>
            <sz val="9"/>
            <color indexed="81"/>
            <rFont val="Verdana"/>
          </rPr>
          <t>Dwayne Winseck:</t>
        </r>
        <r>
          <rPr>
            <sz val="9"/>
            <color indexed="81"/>
            <rFont val="Verdana"/>
          </rPr>
          <t xml:space="preserve">
Comcast AR 2014, p. 57.</t>
        </r>
      </text>
    </comment>
    <comment ref="D73" authorId="0">
      <text>
        <r>
          <rPr>
            <b/>
            <sz val="9"/>
            <color indexed="81"/>
            <rFont val="Verdana"/>
          </rPr>
          <t>Dwayne Winseck:</t>
        </r>
        <r>
          <rPr>
            <sz val="9"/>
            <color indexed="81"/>
            <rFont val="Verdana"/>
          </rPr>
          <t xml:space="preserve">
Comcast AR 2014, p. 61.</t>
        </r>
      </text>
    </comment>
    <comment ref="E73" authorId="0">
      <text>
        <r>
          <rPr>
            <b/>
            <sz val="9"/>
            <color indexed="81"/>
            <rFont val="Verdana"/>
          </rPr>
          <t>Dwayne Winseck:</t>
        </r>
        <r>
          <rPr>
            <sz val="9"/>
            <color indexed="81"/>
            <rFont val="Verdana"/>
          </rPr>
          <t xml:space="preserve">
Comcast AR 2014, p. 61.</t>
        </r>
      </text>
    </comment>
    <comment ref="G73" authorId="0">
      <text>
        <r>
          <rPr>
            <b/>
            <sz val="9"/>
            <color indexed="81"/>
            <rFont val="Verdana"/>
          </rPr>
          <t>Dwayne Winseck:</t>
        </r>
        <r>
          <rPr>
            <sz val="9"/>
            <color indexed="81"/>
            <rFont val="Verdana"/>
          </rPr>
          <t xml:space="preserve">
Used MPAA domestic/int'l film $  split, i.e. .276 after $1 billion in revenues excluded from US figures to account for Canada. MPAA, 2014, p. 4. Comcast $ = $5008 million. Comcast AR 2014, p. 61.</t>
        </r>
      </text>
    </comment>
    <comment ref="A74" authorId="0">
      <text>
        <r>
          <rPr>
            <b/>
            <sz val="9"/>
            <color indexed="81"/>
            <rFont val="Verdana"/>
          </rPr>
          <t>Dwayne Winseck:</t>
        </r>
        <r>
          <rPr>
            <sz val="9"/>
            <color indexed="81"/>
            <rFont val="Verdana"/>
          </rPr>
          <t xml:space="preserve">
Liberty/Malone owns 57% of DIRECTV</t>
        </r>
      </text>
    </comment>
    <comment ref="D75" authorId="0">
      <text>
        <r>
          <rPr>
            <b/>
            <sz val="9"/>
            <color indexed="81"/>
            <rFont val="Verdana"/>
          </rPr>
          <t>Dwayne Winseck:</t>
        </r>
        <r>
          <rPr>
            <sz val="9"/>
            <color indexed="81"/>
            <rFont val="Verdana"/>
          </rPr>
          <t xml:space="preserve">
Includes Disney pay tv, broadcast tv, radio, online. Disney, AR 2013, p. 30.</t>
        </r>
      </text>
    </comment>
    <comment ref="G75" authorId="0">
      <text>
        <r>
          <rPr>
            <b/>
            <sz val="9"/>
            <color indexed="81"/>
            <rFont val="Verdana"/>
          </rPr>
          <t>Dwayne Winseck:</t>
        </r>
        <r>
          <rPr>
            <sz val="9"/>
            <color indexed="81"/>
            <rFont val="Verdana"/>
          </rPr>
          <t xml:space="preserve">
Used MPAA domestic/int'l film $  split, i.e. .276 after $1 billion in revenues excluded from US figures to account for Canada. MPAA, 2014, p. 4.  Disney, AR 2013, p. 40.  </t>
        </r>
      </text>
    </comment>
    <comment ref="B78" authorId="0">
      <text>
        <r>
          <rPr>
            <b/>
            <sz val="9"/>
            <color indexed="81"/>
            <rFont val="Verdana"/>
          </rPr>
          <t>Dwayne Winseck:</t>
        </r>
        <r>
          <rPr>
            <sz val="9"/>
            <color indexed="81"/>
            <rFont val="Verdana"/>
          </rPr>
          <t xml:space="preserve">
U-Verse subs = 10375; DSL 6050.Total: 16425 * ARPU/mo of $42.96 from Comcast AR 2014, p. 57. </t>
        </r>
      </text>
    </comment>
    <comment ref="C78" authorId="0">
      <text>
        <r>
          <rPr>
            <b/>
            <sz val="9"/>
            <color indexed="81"/>
            <rFont val="Verdana"/>
          </rPr>
          <t>Dwayne Winseck:</t>
        </r>
        <r>
          <rPr>
            <sz val="9"/>
            <color indexed="81"/>
            <rFont val="Verdana"/>
          </rPr>
          <t xml:space="preserve">
Estimate based on 5,460000 subscribers (AT&amp;T 2013 AR, p. 19) * avg Comcast + Time Warner video ARPU, $78.45 (FCC, 2015, Comp in Video Marketplace, p. 65)</t>
        </r>
      </text>
    </comment>
    <comment ref="D79" authorId="0">
      <text>
        <r>
          <rPr>
            <b/>
            <sz val="9"/>
            <color indexed="81"/>
            <rFont val="Verdana"/>
          </rPr>
          <t>Dwayne Winseck:</t>
        </r>
        <r>
          <rPr>
            <sz val="9"/>
            <color indexed="81"/>
            <rFont val="Verdana"/>
          </rPr>
          <t xml:space="preserve">
Total int'l sales of $10,881 million News Corp AR 2013, p. 51 * % of total $ = int'l $ as of 2012, i.e. 57%</t>
        </r>
      </text>
    </comment>
    <comment ref="G79" authorId="0">
      <text>
        <r>
          <rPr>
            <b/>
            <sz val="9"/>
            <color indexed="81"/>
            <rFont val="Verdana"/>
          </rPr>
          <t>Dwayne Winseck:</t>
        </r>
        <r>
          <rPr>
            <sz val="9"/>
            <color indexed="81"/>
            <rFont val="Verdana"/>
          </rPr>
          <t xml:space="preserve">
Used MPAA domestic/int'l film $  split, i.e. .276 after $1 billion in revenues excluded from US figures to account for Canada. MPAA, 2014, p. 4.  Total int'l sales of $8642 million News Corp AR 2013, p. 51.</t>
        </r>
      </text>
    </comment>
    <comment ref="B80" authorId="0">
      <text>
        <r>
          <rPr>
            <b/>
            <sz val="9"/>
            <color indexed="81"/>
            <rFont val="Verdana"/>
          </rPr>
          <t>Dwayne Winseck:</t>
        </r>
        <r>
          <rPr>
            <sz val="9"/>
            <color indexed="81"/>
            <rFont val="Verdana"/>
          </rPr>
          <t xml:space="preserve">
6,092 Fios subs, 2942 DSL (Verizon, 2013 AR, p. 20). Multipled by  ARPU/mo of $42.96 from Comcast AR 2014, p. 57. </t>
        </r>
      </text>
    </comment>
    <comment ref="C80" authorId="0">
      <text>
        <r>
          <rPr>
            <b/>
            <sz val="9"/>
            <color indexed="81"/>
            <rFont val="Verdana"/>
          </rPr>
          <t>Dwayne Winseck:</t>
        </r>
        <r>
          <rPr>
            <sz val="9"/>
            <color indexed="81"/>
            <rFont val="Verdana"/>
          </rPr>
          <t xml:space="preserve">
Estimate based on 5,262,000 subscribers (Verizon 2013 AR, p. 20) * avg Comcast + Time Warner video ARPU, $78.45 (FCC, 2015, Comp in Video Marketplace, p. 65)</t>
        </r>
      </text>
    </comment>
    <comment ref="D81" authorId="0">
      <text>
        <r>
          <rPr>
            <b/>
            <sz val="9"/>
            <color indexed="81"/>
            <rFont val="Verdana"/>
          </rPr>
          <t>Dwayne Winseck:</t>
        </r>
        <r>
          <rPr>
            <sz val="9"/>
            <color indexed="81"/>
            <rFont val="Verdana"/>
          </rPr>
          <t xml:space="preserve">
Used Viacom int'l film $  (53%) as proxy to calculate split between Time Warner's domestic and int'l pay tv $. Total 9361 (Time Warner, AR 2013, pp. 35-37).</t>
        </r>
      </text>
    </comment>
    <comment ref="G81" authorId="0">
      <text>
        <r>
          <rPr>
            <b/>
            <sz val="9"/>
            <color indexed="81"/>
            <rFont val="Verdana"/>
          </rPr>
          <t>Dwayne Winseck:</t>
        </r>
        <r>
          <rPr>
            <sz val="9"/>
            <color indexed="81"/>
            <rFont val="Verdana"/>
          </rPr>
          <t xml:space="preserve">
Used MPAA domestic/int'l film $  split, i.e. .276 after $1 billion in revenues excluded from US figures to account for Canada. MPAA, 2014, p. 4.  Time Warner AR 2014, p.36</t>
        </r>
      </text>
    </comment>
    <comment ref="D82" authorId="0">
      <text>
        <r>
          <rPr>
            <b/>
            <sz val="9"/>
            <color indexed="81"/>
            <rFont val="Verdana"/>
          </rPr>
          <t>Dwayne Winseck:</t>
        </r>
        <r>
          <rPr>
            <sz val="9"/>
            <color indexed="81"/>
            <rFont val="Verdana"/>
          </rPr>
          <t xml:space="preserve">
Viacom AR 2013, p. indicates that 53% of film revenue is international, rest US (with Canada included). This is used as a proxy for its US revenues. </t>
        </r>
      </text>
    </comment>
    <comment ref="G82" authorId="0">
      <text>
        <r>
          <rPr>
            <b/>
            <sz val="9"/>
            <color indexed="81"/>
            <rFont val="Verdana"/>
          </rPr>
          <t>Dwayne Winseck:</t>
        </r>
        <r>
          <rPr>
            <sz val="9"/>
            <color indexed="81"/>
            <rFont val="Verdana"/>
          </rPr>
          <t xml:space="preserve">
Viacom AR 2013, p. 42 indicates that 53% of film revenue is international, rest US (with Canada included),</t>
        </r>
      </text>
    </comment>
    <comment ref="B83" authorId="0">
      <text>
        <r>
          <rPr>
            <b/>
            <sz val="9"/>
            <color indexed="81"/>
            <rFont val="Verdana"/>
          </rPr>
          <t>Dwayne Winseck:</t>
        </r>
        <r>
          <rPr>
            <sz val="9"/>
            <color indexed="81"/>
            <rFont val="Verdana"/>
          </rPr>
          <t xml:space="preserve">
Estimate = based avg of video/internet subs for  Comcast, Time Warner + Charter, i.e 0.549.</t>
        </r>
      </text>
    </comment>
    <comment ref="C83" authorId="0">
      <text>
        <r>
          <rPr>
            <b/>
            <sz val="9"/>
            <color indexed="81"/>
            <rFont val="Verdana"/>
          </rPr>
          <t>Dwayne Winseck:</t>
        </r>
        <r>
          <rPr>
            <sz val="9"/>
            <color indexed="81"/>
            <rFont val="Verdana"/>
          </rPr>
          <t xml:space="preserve">
4,300k subs * ARPU/mo of $78.45 from (FCC, 2015, Comp in Video Marketplace, p. 60)</t>
        </r>
      </text>
    </comment>
    <comment ref="A84" authorId="0">
      <text>
        <r>
          <rPr>
            <b/>
            <sz val="9"/>
            <color indexed="81"/>
            <rFont val="Verdana"/>
          </rPr>
          <t>Dwayne Winseck:</t>
        </r>
        <r>
          <rPr>
            <sz val="9"/>
            <color indexed="81"/>
            <rFont val="Verdana"/>
          </rPr>
          <t xml:space="preserve">
Charter 2014 AR p. 25. Liberty Broadband beneficial owners of 25.75% of Class A common stock. Substantial influence. </t>
        </r>
      </text>
    </comment>
    <comment ref="B84" authorId="0">
      <text>
        <r>
          <rPr>
            <b/>
            <sz val="9"/>
            <color indexed="81"/>
            <rFont val="Verdana"/>
          </rPr>
          <t>Dwayne Winseck:</t>
        </r>
        <r>
          <rPr>
            <sz val="9"/>
            <color indexed="81"/>
            <rFont val="Verdana"/>
          </rPr>
          <t xml:space="preserve">
Charter AR 2014, p. 46</t>
        </r>
      </text>
    </comment>
    <comment ref="C84" authorId="0">
      <text>
        <r>
          <rPr>
            <b/>
            <sz val="9"/>
            <color indexed="81"/>
            <rFont val="Verdana"/>
          </rPr>
          <t>Dwayne Winseck:</t>
        </r>
        <r>
          <rPr>
            <sz val="9"/>
            <color indexed="81"/>
            <rFont val="Verdana"/>
          </rPr>
          <t xml:space="preserve">
Charter AR 2014, p. 46</t>
        </r>
      </text>
    </comment>
    <comment ref="A85" authorId="0">
      <text>
        <r>
          <rPr>
            <b/>
            <sz val="9"/>
            <color indexed="81"/>
            <rFont val="Verdana"/>
          </rPr>
          <t>Dwayne Winseck:</t>
        </r>
        <r>
          <rPr>
            <sz val="9"/>
            <color indexed="81"/>
            <rFont val="Verdana"/>
          </rPr>
          <t xml:space="preserve">
AMC Networks is a wholly owned subsidiary of Cablevision (AMC Networks AR 2013, p. 4).</t>
        </r>
      </text>
    </comment>
    <comment ref="B85" authorId="0">
      <text>
        <r>
          <rPr>
            <b/>
            <sz val="9"/>
            <color indexed="81"/>
            <rFont val="Verdana"/>
          </rPr>
          <t>Dwayne Winseck:</t>
        </r>
        <r>
          <rPr>
            <sz val="9"/>
            <color indexed="81"/>
            <rFont val="Verdana"/>
          </rPr>
          <t xml:space="preserve">
Cablevision, AR 2013, p. 56).</t>
        </r>
      </text>
    </comment>
    <comment ref="C85" authorId="0">
      <text>
        <r>
          <rPr>
            <b/>
            <sz val="9"/>
            <color indexed="81"/>
            <rFont val="Verdana"/>
          </rPr>
          <t>Dwayne Winseck:</t>
        </r>
        <r>
          <rPr>
            <sz val="9"/>
            <color indexed="81"/>
            <rFont val="Verdana"/>
          </rPr>
          <t xml:space="preserve">
Cablevision, AR 2013, p. 56). </t>
        </r>
      </text>
    </comment>
    <comment ref="D85" authorId="0">
      <text>
        <r>
          <rPr>
            <b/>
            <sz val="9"/>
            <color indexed="81"/>
            <rFont val="Verdana"/>
          </rPr>
          <t>Dwayne Winseck:</t>
        </r>
        <r>
          <rPr>
            <sz val="9"/>
            <color indexed="81"/>
            <rFont val="Verdana"/>
          </rPr>
          <t xml:space="preserve">
AMC Networks AR 2013, p. 32.</t>
        </r>
      </text>
    </comment>
    <comment ref="B86" authorId="0">
      <text>
        <r>
          <rPr>
            <b/>
            <sz val="9"/>
            <color indexed="81"/>
            <rFont val="Verdana"/>
          </rPr>
          <t>Dwayne Winseck:</t>
        </r>
        <r>
          <rPr>
            <sz val="9"/>
            <color indexed="81"/>
            <rFont val="Verdana"/>
          </rPr>
          <t xml:space="preserve">
Estimate = based avg of video/internet subs for  AT&amp;T and Verizon, i.e 0.549</t>
        </r>
      </text>
    </comment>
    <comment ref="C86" authorId="0">
      <text>
        <r>
          <rPr>
            <b/>
            <sz val="9"/>
            <color indexed="81"/>
            <rFont val="Verdana"/>
          </rPr>
          <t>Dwayne Winseck:</t>
        </r>
        <r>
          <rPr>
            <sz val="9"/>
            <color indexed="81"/>
            <rFont val="Verdana"/>
          </rPr>
          <t xml:space="preserve">
2813k subs subs * ARPU/mo of $78.45 from (FCC, 2015, Comp in Video Marketplace, p. 65 (CenturyLink, 2014 AR</t>
        </r>
      </text>
    </comment>
    <comment ref="D87" authorId="0">
      <text>
        <r>
          <rPr>
            <b/>
            <sz val="9"/>
            <color indexed="81"/>
            <rFont val="Verdana"/>
          </rPr>
          <t>Dwayne Winseck:</t>
        </r>
        <r>
          <rPr>
            <sz val="9"/>
            <color indexed="81"/>
            <rFont val="Verdana"/>
          </rPr>
          <t xml:space="preserve">
CBS AR 2014, p. II 13</t>
        </r>
      </text>
    </comment>
    <comment ref="E87" authorId="0">
      <text>
        <r>
          <rPr>
            <b/>
            <sz val="9"/>
            <color indexed="81"/>
            <rFont val="Verdana"/>
          </rPr>
          <t>Dwayne Winseck:</t>
        </r>
        <r>
          <rPr>
            <sz val="9"/>
            <color indexed="81"/>
            <rFont val="Verdana"/>
          </rPr>
          <t xml:space="preserve">
CBS AR 2014, p. II 13</t>
        </r>
      </text>
    </comment>
    <comment ref="B88" authorId="0">
      <text>
        <r>
          <rPr>
            <b/>
            <sz val="9"/>
            <color indexed="81"/>
            <rFont val="Verdana"/>
          </rPr>
          <t>Dwayne Winseck:</t>
        </r>
        <r>
          <rPr>
            <sz val="9"/>
            <color indexed="81"/>
            <rFont val="Verdana"/>
          </rPr>
          <t xml:space="preserve">
Estimate = based avg of video/internet subs for  Comcast, Time Warner + Charter, i.e 0.549.</t>
        </r>
      </text>
    </comment>
    <comment ref="C88" authorId="0">
      <text>
        <r>
          <rPr>
            <b/>
            <sz val="9"/>
            <color indexed="81"/>
            <rFont val="Verdana"/>
          </rPr>
          <t>Dwayne Winseck:</t>
        </r>
        <r>
          <rPr>
            <sz val="9"/>
            <color indexed="81"/>
            <rFont val="Verdana"/>
          </rPr>
          <t xml:space="preserve">
Wikipedia. 2.5 million subscribers.</t>
        </r>
      </text>
    </comment>
    <comment ref="A89" authorId="0">
      <text>
        <r>
          <rPr>
            <b/>
            <sz val="9"/>
            <color indexed="81"/>
            <rFont val="Verdana"/>
          </rPr>
          <t>Dwayne Winseck:</t>
        </r>
        <r>
          <rPr>
            <sz val="9"/>
            <color indexed="81"/>
            <rFont val="Verdana"/>
          </rPr>
          <t xml:space="preserve">
Liberty is considered vertically integrated because of the overlapping ownership and directors between it and Charter.  Malone/Liberty has 26% ownership stake in Charter (check). FCC considers to be under common ownership (FCC, 2015). Comp in Video, p. ). Liberty/Malone owns 57% of DIRECTV.
 </t>
        </r>
      </text>
    </comment>
    <comment ref="D89" authorId="0">
      <text>
        <r>
          <rPr>
            <b/>
            <sz val="9"/>
            <color indexed="81"/>
            <rFont val="Verdana"/>
          </rPr>
          <t>Dwayne Winseck:</t>
        </r>
        <r>
          <rPr>
            <sz val="9"/>
            <color indexed="81"/>
            <rFont val="Verdana"/>
          </rPr>
          <t xml:space="preserve">
Starz AR 2013, p. F-8.</t>
        </r>
      </text>
    </comment>
    <comment ref="H89" authorId="0">
      <text>
        <r>
          <rPr>
            <b/>
            <sz val="9"/>
            <color indexed="81"/>
            <rFont val="Verdana"/>
          </rPr>
          <t>Dwayne Winseck:</t>
        </r>
        <r>
          <rPr>
            <sz val="9"/>
            <color indexed="81"/>
            <rFont val="Verdana"/>
          </rPr>
          <t xml:space="preserve">
Total int'l sales of $2625 million Liberty AR 2013, p. II8 * avg int'l revenues for Top 12 Global Media Cos as of 2012, i.e. 36.1%.</t>
        </r>
      </text>
    </comment>
    <comment ref="D90" authorId="0">
      <text>
        <r>
          <rPr>
            <b/>
            <sz val="9"/>
            <color indexed="81"/>
            <rFont val="Verdana"/>
          </rPr>
          <t>Dwayne Winseck:</t>
        </r>
        <r>
          <rPr>
            <sz val="9"/>
            <color indexed="81"/>
            <rFont val="Verdana"/>
          </rPr>
          <t xml:space="preserve">
Discovery Communications, AR 2013, p. 30.</t>
        </r>
      </text>
    </comment>
    <comment ref="F91" authorId="0">
      <text>
        <r>
          <rPr>
            <b/>
            <sz val="9"/>
            <color indexed="81"/>
            <rFont val="Verdana"/>
          </rPr>
          <t>Dwayne Winseck:</t>
        </r>
        <r>
          <rPr>
            <sz val="9"/>
            <color indexed="81"/>
            <rFont val="Verdana"/>
          </rPr>
          <t xml:space="preserve">
Netflix AR 2013, p. 19. </t>
        </r>
      </text>
    </comment>
    <comment ref="E93" authorId="0">
      <text>
        <r>
          <rPr>
            <b/>
            <sz val="9"/>
            <color indexed="81"/>
            <rFont val="Verdana"/>
          </rPr>
          <t>Dwayne Winseck:</t>
        </r>
        <r>
          <rPr>
            <sz val="9"/>
            <color indexed="81"/>
            <rFont val="Verdana"/>
          </rPr>
          <t xml:space="preserve">
FCC Comp in Video, p. 96.</t>
        </r>
      </text>
    </comment>
    <comment ref="B95" authorId="0">
      <text>
        <r>
          <rPr>
            <b/>
            <sz val="9"/>
            <color indexed="81"/>
            <rFont val="Verdana"/>
          </rPr>
          <t>Dwayne Winseck:</t>
        </r>
        <r>
          <rPr>
            <sz val="9"/>
            <color indexed="81"/>
            <rFont val="Verdana"/>
          </rPr>
          <t xml:space="preserve">
Estimate based on weighted avg between telco and cablecos video/internet subs, ie. 1.3 and .55, respectively. In other words, telcos have 1.3 HSIA subs for every MVPD sub; for cablescos, just over have (55%) also take HSIA with their cable TV subs. SNL Kagan est. 87m HSIA subs end of 2013 * est. ARPU $42.96 = $44.85nb (FCC, 2015 Comp in Video, p. 121)</t>
        </r>
      </text>
    </comment>
    <comment ref="C95" authorId="0">
      <text>
        <r>
          <rPr>
            <b/>
            <sz val="9"/>
            <color indexed="81"/>
            <rFont val="Verdana"/>
          </rPr>
          <t>Dwayne Winseck:</t>
        </r>
        <r>
          <rPr>
            <sz val="9"/>
            <color indexed="81"/>
            <rFont val="Verdana"/>
          </rPr>
          <t xml:space="preserve">
Sum of cable MVPD $51.8b; DTH ($38.6b) + telcos TV (13.5b)</t>
        </r>
      </text>
    </comment>
    <comment ref="D95" authorId="0">
      <text>
        <r>
          <rPr>
            <b/>
            <sz val="9"/>
            <color indexed="81"/>
            <rFont val="Verdana"/>
          </rPr>
          <t>Dwayne Winseck:</t>
        </r>
        <r>
          <rPr>
            <sz val="9"/>
            <color indexed="81"/>
            <rFont val="Verdana"/>
          </rPr>
          <t xml:space="preserve">
Estimate based on same pay TV/MVPD ratio as in Canada, i.e. .4551</t>
        </r>
      </text>
    </comment>
    <comment ref="E95" authorId="0">
      <text>
        <r>
          <rPr>
            <b/>
            <sz val="9"/>
            <color indexed="81"/>
            <rFont val="Verdana"/>
          </rPr>
          <t>Dwayne Winseck:</t>
        </r>
        <r>
          <rPr>
            <sz val="9"/>
            <color indexed="81"/>
            <rFont val="Verdana"/>
          </rPr>
          <t xml:space="preserve">
FCC (2015). Competition in Video Market, p. 90.</t>
        </r>
      </text>
    </comment>
    <comment ref="F95" authorId="0">
      <text>
        <r>
          <rPr>
            <b/>
            <sz val="9"/>
            <color indexed="81"/>
            <rFont val="Verdana"/>
          </rPr>
          <t>Dwayne Winseck:</t>
        </r>
        <r>
          <rPr>
            <sz val="9"/>
            <color indexed="81"/>
            <rFont val="Verdana"/>
          </rPr>
          <t xml:space="preserve">
FCC (2015). Competition in Video Market, p. 149.</t>
        </r>
      </text>
    </comment>
    <comment ref="G95" authorId="0">
      <text>
        <r>
          <rPr>
            <b/>
            <sz val="9"/>
            <color indexed="81"/>
            <rFont val="Verdana"/>
          </rPr>
          <t>Dwayne Winseck:</t>
        </r>
        <r>
          <rPr>
            <sz val="9"/>
            <color indexed="81"/>
            <rFont val="Verdana"/>
          </rPr>
          <t xml:space="preserve">
MPAA domestic/int'l film $  split - $1 billion to account for Canada. MPAA, 2014, p. 4. </t>
        </r>
      </text>
    </comment>
  </commentList>
</comments>
</file>

<file path=xl/comments22.xml><?xml version="1.0" encoding="utf-8"?>
<comments xmlns="http://schemas.openxmlformats.org/spreadsheetml/2006/main">
  <authors>
    <author/>
  </authors>
  <commentList>
    <comment ref="G3" authorId="0">
      <text>
        <r>
          <rPr>
            <sz val="10"/>
            <color rgb="FF000000"/>
            <rFont val="Verdana"/>
          </rPr>
          <t>LR:
CRTC Communications Monitoring Report, 2008, p. 183</t>
        </r>
      </text>
    </comment>
    <comment ref="H3" authorId="0">
      <text>
        <r>
          <rPr>
            <sz val="10"/>
            <color rgb="FF000000"/>
            <rFont val="Verdana"/>
          </rPr>
          <t xml:space="preserve">LR:
CRTC Communications Monitoring Report 2011, p. 18; Wireline Rev 24.2, exclude ISP Rev (6.2) from CRTC Communications Monitoring Report 2009, p.217 </t>
        </r>
      </text>
    </comment>
    <comment ref="I3" authorId="0">
      <text>
        <r>
          <rPr>
            <sz val="10"/>
            <color rgb="FF000000"/>
            <rFont val="Verdana"/>
          </rPr>
          <t>LR:
CRTC Communications Monitoring Report 2011, p. 18; Wireline Rev 23.7, exclude ISP Rev (P.137) 6.8</t>
        </r>
      </text>
    </comment>
    <comment ref="J3" authorId="0">
      <text>
        <r>
          <rPr>
            <sz val="10"/>
            <color rgb="FF000000"/>
            <rFont val="Verdana"/>
          </rPr>
          <t>LR:
CRTC 2011</t>
        </r>
      </text>
    </comment>
    <comment ref="K3" authorId="0">
      <text>
        <r>
          <rPr>
            <sz val="10"/>
            <color rgb="FF000000"/>
            <rFont val="Verdana"/>
          </rPr>
          <t>Dwayne Winseck:
CRTC 2013 CMR, p. 120.</t>
        </r>
      </text>
    </comment>
    <comment ref="L3" authorId="0">
      <text>
        <r>
          <rPr>
            <sz val="10"/>
            <color rgb="FF000000"/>
            <rFont val="Verdana"/>
          </rPr>
          <t xml:space="preserve">CRTC 2014 CMR, p. 134. Minus ISP $. 
</t>
        </r>
      </text>
    </comment>
    <comment ref="K4" authorId="0">
      <text>
        <r>
          <rPr>
            <sz val="10"/>
            <color rgb="FF000000"/>
            <rFont val="Verdana"/>
          </rPr>
          <t>Dwayne Winseck:
ECRTC 2013 CMR p. 158</t>
        </r>
      </text>
    </comment>
    <comment ref="L4" authorId="0">
      <text>
        <r>
          <rPr>
            <sz val="10"/>
            <color rgb="FF000000"/>
            <rFont val="Verdana"/>
          </rPr>
          <t>CRTC 2014 CMR, p. 134.</t>
        </r>
      </text>
    </comment>
    <comment ref="K5" authorId="0">
      <text>
        <r>
          <rPr>
            <sz val="10"/>
            <color rgb="FF000000"/>
            <rFont val="Verdana"/>
          </rPr>
          <t xml:space="preserve">Dwayne Winseck:
CRTC, 2012 CMR p. 144. </t>
        </r>
      </text>
    </comment>
    <comment ref="L5" authorId="0">
      <text>
        <r>
          <rPr>
            <sz val="10"/>
            <color rgb="FF000000"/>
            <rFont val="Verdana"/>
          </rPr>
          <t xml:space="preserve">CRTC's CMR 2014 Press Release. </t>
        </r>
      </text>
    </comment>
    <comment ref="K6" authorId="0">
      <text>
        <r>
          <rPr>
            <sz val="10"/>
            <color rgb="FF000000"/>
            <rFont val="Verdana"/>
          </rPr>
          <t>Dwayne Winseck:
CRTC 2014 CMR p. 120.</t>
        </r>
      </text>
    </comment>
    <comment ref="L6" authorId="0">
      <text>
        <r>
          <rPr>
            <sz val="10"/>
            <color rgb="FF000000"/>
            <rFont val="Verdana"/>
          </rPr>
          <t>CRTC 2014 CMR p. 120.</t>
        </r>
      </text>
    </comment>
    <comment ref="K10" authorId="0">
      <text>
        <r>
          <rPr>
            <sz val="10"/>
            <color rgb="FF000000"/>
            <rFont val="Verdana"/>
          </rPr>
          <t>Estimate based on average of 2011 figure from Stats Can and 2013 estimate from PWC.</t>
        </r>
      </text>
    </comment>
    <comment ref="L10" authorId="0">
      <text>
        <r>
          <rPr>
            <sz val="10"/>
            <color rgb="FF000000"/>
            <rFont val="Verdana"/>
          </rPr>
          <t>Estimate based on PWC estimate for consumer and business magazines of $1,540 and $219 million (USD), respectively, and converted into CDN$ at exchange rate of 1.0636 as of December 31, 2013 from Bank of Canada http://www.omdc.on.ca/collaboration/research_and_industry_information/industry_profiles/Magazine_Industry_Profile.htm</t>
        </r>
      </text>
    </comment>
    <comment ref="J11" authorId="0">
      <text>
        <r>
          <rPr>
            <sz val="10"/>
            <color rgb="FF000000"/>
            <rFont val="Verdana"/>
          </rPr>
          <t>IAB, 2012 Actual + 2013 Estimated Canadian Internet Advertising Revenue Survey, p. 6.</t>
        </r>
      </text>
    </comment>
    <comment ref="K11" authorId="0">
      <text>
        <r>
          <rPr>
            <sz val="10"/>
            <color rgb="FF000000"/>
            <rFont val="Verdana"/>
          </rPr>
          <t xml:space="preserve">IAB, 2012 Actual + 2013 Estimated Canadian Internet Advertising Revenue Survey, p. 6.
</t>
        </r>
      </text>
    </comment>
    <comment ref="L11" authorId="0">
      <text>
        <r>
          <rPr>
            <sz val="10"/>
            <color rgb="FF000000"/>
            <rFont val="Verdana"/>
          </rPr>
          <t xml:space="preserve">IAB, 2013 Actual + 2014 Estimated Canadian Internet Advertising Revenue Survey, p. 9.
</t>
        </r>
      </text>
    </comment>
    <comment ref="M11" authorId="0">
      <text>
        <r>
          <rPr>
            <sz val="10"/>
            <color rgb="FF000000"/>
            <rFont val="Verdana"/>
          </rPr>
          <t xml:space="preserve">IAB, 2014 Actual + 2015 Estimated Canadian Internet Advertising Revenue Survey, p. 4.
</t>
        </r>
      </text>
    </comment>
    <comment ref="K19" authorId="0">
      <text>
        <r>
          <rPr>
            <sz val="10"/>
            <color rgb="FF000000"/>
            <rFont val="Verdana"/>
          </rPr>
          <t>Dwayne Winseck:
CRTC 2013 CMR, p. 120.</t>
        </r>
      </text>
    </comment>
    <comment ref="L19" authorId="0">
      <text>
        <r>
          <rPr>
            <sz val="10"/>
            <color rgb="FF000000"/>
            <rFont val="Verdana"/>
          </rPr>
          <t xml:space="preserve">Estimate applies year-over-year decline in revenue between 2011 and 2012 of 3%.
</t>
        </r>
      </text>
    </comment>
    <comment ref="K20" authorId="0">
      <text>
        <r>
          <rPr>
            <sz val="10"/>
            <color rgb="FF000000"/>
            <rFont val="Verdana"/>
          </rPr>
          <t>Dwayne Winseck:
ECRTC 2013 CMR p. 158</t>
        </r>
      </text>
    </comment>
    <comment ref="L20" authorId="0">
      <text>
        <r>
          <rPr>
            <sz val="10"/>
            <color rgb="FF000000"/>
            <rFont val="Verdana"/>
          </rPr>
          <t>Estimated based on annual growth rate of 6.6% for 2011-2012, as cited in CRTC's CMR 2013, p. 158.</t>
        </r>
      </text>
    </comment>
    <comment ref="K21" authorId="0">
      <text>
        <r>
          <rPr>
            <sz val="10"/>
            <color rgb="FF000000"/>
            <rFont val="Verdana"/>
          </rPr>
          <t xml:space="preserve">Dwayne Winseck:
CRTC, 2012 CMR p. 144. </t>
        </r>
      </text>
    </comment>
    <comment ref="L21" authorId="0">
      <text>
        <r>
          <rPr>
            <sz val="10"/>
            <color rgb="FF000000"/>
            <rFont val="Verdana"/>
          </rPr>
          <t xml:space="preserve">Estimate based on growth rate of 5.9% between 2011 and 2012 noted in CRTC's CMR 2013, p.  144. 
</t>
        </r>
      </text>
    </comment>
    <comment ref="L22" authorId="0">
      <text>
        <r>
          <rPr>
            <sz val="10"/>
            <color rgb="FF000000"/>
            <rFont val="Verdana"/>
          </rPr>
          <t xml:space="preserve">CRTC, BDU Financial Summaries (Basic &amp; non Basic services + MDS &amp; DTH). </t>
        </r>
      </text>
    </comment>
    <comment ref="L25" authorId="0">
      <text>
        <r>
          <rPr>
            <sz val="10"/>
            <color rgb="FF000000"/>
            <rFont val="Verdana"/>
          </rPr>
          <t xml:space="preserve">Estimate based on 8.6% revenue decline as shown in Newspaper Canada data. </t>
        </r>
      </text>
    </comment>
    <comment ref="L26" authorId="0">
      <text>
        <r>
          <rPr>
            <sz val="10"/>
            <color rgb="FF000000"/>
            <rFont val="Verdana"/>
          </rPr>
          <t>Estimate based on y-o-y growth of .57% from 2011 to 2012.</t>
        </r>
      </text>
    </comment>
    <comment ref="L27" authorId="0">
      <text>
        <r>
          <rPr>
            <sz val="10"/>
            <color rgb="FF000000"/>
            <rFont val="Verdana"/>
          </rPr>
          <t xml:space="preserve">IAB, 2013 Actual + 2014 Estimated Canadian Internet Advertising Revenue Survey, p. 9.
</t>
        </r>
      </text>
    </comment>
    <comment ref="G34" authorId="0">
      <text>
        <r>
          <rPr>
            <sz val="10"/>
            <color rgb="FF000000"/>
            <rFont val="Verdana"/>
          </rPr>
          <t>LR:
CRTC Communications Monitoring Report, 2008, p. 183</t>
        </r>
      </text>
    </comment>
    <comment ref="H34" authorId="0">
      <text>
        <r>
          <rPr>
            <sz val="10"/>
            <color rgb="FF000000"/>
            <rFont val="Verdana"/>
          </rPr>
          <t xml:space="preserve">LR:
CRTC Communications Monitoring Report 2011, p. 18; Wireline Rev 24.2, exclude ISP Rev (6.2) from CRTC Communications Monitoring Report 2009, p.217 </t>
        </r>
      </text>
    </comment>
    <comment ref="I34" authorId="0">
      <text>
        <r>
          <rPr>
            <sz val="10"/>
            <color rgb="FF000000"/>
            <rFont val="Verdana"/>
          </rPr>
          <t>LR:
CRTC Communications Monitoring Report 2011, p. 18; Wireline Rev 23.7, exclude ISP Rev (P.137) 6.8</t>
        </r>
      </text>
    </comment>
    <comment ref="J34" authorId="0">
      <text>
        <r>
          <rPr>
            <sz val="10"/>
            <color rgb="FF000000"/>
            <rFont val="Verdana"/>
          </rPr>
          <t>LR:
CRTC 2011</t>
        </r>
      </text>
    </comment>
    <comment ref="K34" authorId="0">
      <text>
        <r>
          <rPr>
            <sz val="10"/>
            <color rgb="FF000000"/>
            <rFont val="Verdana"/>
          </rPr>
          <t>Dwayne Winseck:
CRTC 2013 CMR, p. 120.</t>
        </r>
      </text>
    </comment>
    <comment ref="L34" authorId="0">
      <text>
        <r>
          <rPr>
            <sz val="10"/>
            <color rgb="FF000000"/>
            <rFont val="Verdana"/>
          </rPr>
          <t xml:space="preserve">Estimate applies year-over-year decline in revenue between 2011 and 2012 of 3%.
</t>
        </r>
      </text>
    </comment>
    <comment ref="K35" authorId="0">
      <text>
        <r>
          <rPr>
            <sz val="10"/>
            <color rgb="FF000000"/>
            <rFont val="Verdana"/>
          </rPr>
          <t>Dwayne Winseck:
ECRTC 2013 CMR p. 158</t>
        </r>
      </text>
    </comment>
    <comment ref="L35" authorId="0">
      <text>
        <r>
          <rPr>
            <sz val="10"/>
            <color rgb="FF000000"/>
            <rFont val="Verdana"/>
          </rPr>
          <t>Estimated based on annual growth rate of 6.6% for 2011-2012, as cited in CRTC's CMR 2013, p. 158.</t>
        </r>
      </text>
    </comment>
    <comment ref="K36" authorId="0">
      <text>
        <r>
          <rPr>
            <sz val="10"/>
            <color rgb="FF000000"/>
            <rFont val="Verdana"/>
          </rPr>
          <t xml:space="preserve">Dwayne Winseck:
CRTC, 2012 CMR p. 144. </t>
        </r>
      </text>
    </comment>
    <comment ref="L36" authorId="0">
      <text>
        <r>
          <rPr>
            <sz val="10"/>
            <color rgb="FF000000"/>
            <rFont val="Verdana"/>
          </rPr>
          <t xml:space="preserve">Estimate based on growth rate of 5.9% between 2011 and 2012 noted in CRTC's CMR 2013, p.  144. 
</t>
        </r>
      </text>
    </comment>
    <comment ref="L46" authorId="0">
      <text>
        <r>
          <rPr>
            <sz val="10"/>
            <color rgb="FF000000"/>
            <rFont val="Verdana"/>
          </rPr>
          <t xml:space="preserve">Estimate based on 8.6% revenue decline as shown in Newspaper Canada data. </t>
        </r>
      </text>
    </comment>
    <comment ref="M46" authorId="0">
      <text>
        <r>
          <rPr>
            <sz val="10"/>
            <color rgb="FF000000"/>
            <rFont val="Verdana"/>
          </rPr>
          <t xml:space="preserve">Estimate based on 8.6% revenue decline as shown in Newspaper Canada data. </t>
        </r>
      </text>
    </comment>
    <comment ref="L47" authorId="0">
      <text>
        <r>
          <rPr>
            <sz val="10"/>
            <color rgb="FF000000"/>
            <rFont val="Verdana"/>
          </rPr>
          <t>Estimate based on y-o-y growth of .57% from 2011 to 2012.</t>
        </r>
      </text>
    </comment>
    <comment ref="J48" authorId="0">
      <text>
        <r>
          <rPr>
            <sz val="10"/>
            <color rgb="FF000000"/>
            <rFont val="Verdana"/>
          </rPr>
          <t>IAB, 2012 Actual + 2013 Estimated Canadian Internet Advertising Revenue Survey, p. 6.</t>
        </r>
      </text>
    </comment>
    <comment ref="K48" authorId="0">
      <text>
        <r>
          <rPr>
            <sz val="10"/>
            <color rgb="FF000000"/>
            <rFont val="Verdana"/>
          </rPr>
          <t xml:space="preserve">IAB, 2012 Actual + 2013 Estimated Canadian Internet Advertising Revenue Survey, p. 6.
</t>
        </r>
      </text>
    </comment>
    <comment ref="L48" authorId="0">
      <text>
        <r>
          <rPr>
            <sz val="10"/>
            <color rgb="FF000000"/>
            <rFont val="Verdana"/>
          </rPr>
          <t xml:space="preserve">IAB, 2013 Actual + 2014 Estimated Canadian Internet Advertising Revenue Survey, p. 9.
</t>
        </r>
      </text>
    </comment>
    <comment ref="K54" authorId="0">
      <text>
        <r>
          <rPr>
            <sz val="10"/>
            <color rgb="FF000000"/>
            <rFont val="Verdana"/>
          </rPr>
          <t>Dwayne Winseck:
CRTC 2013 CMR, p. 120.</t>
        </r>
      </text>
    </comment>
    <comment ref="L54" authorId="0">
      <text>
        <r>
          <rPr>
            <sz val="10"/>
            <color rgb="FF000000"/>
            <rFont val="Verdana"/>
          </rPr>
          <t xml:space="preserve">Estimate applies year-over-year decline in revenue between 2011 and 2012 of 3%.
</t>
        </r>
      </text>
    </comment>
    <comment ref="K55" authorId="0">
      <text>
        <r>
          <rPr>
            <sz val="10"/>
            <color rgb="FF000000"/>
            <rFont val="Verdana"/>
          </rPr>
          <t>Dwayne Winseck:
ECRTC 2013 CMR p. 158</t>
        </r>
      </text>
    </comment>
    <comment ref="L55" authorId="0">
      <text>
        <r>
          <rPr>
            <sz val="10"/>
            <color rgb="FF000000"/>
            <rFont val="Verdana"/>
          </rPr>
          <t>Estimated based on annual growth rate of 6.6% for 2011-2012, as cited in CRTC's CMR 2013, p. 158.</t>
        </r>
      </text>
    </comment>
    <comment ref="K56" authorId="0">
      <text>
        <r>
          <rPr>
            <sz val="10"/>
            <color rgb="FF000000"/>
            <rFont val="Verdana"/>
          </rPr>
          <t xml:space="preserve">Dwayne Winseck:
CRTC, 2012 CMR p. 144. </t>
        </r>
      </text>
    </comment>
    <comment ref="L56" authorId="0">
      <text>
        <r>
          <rPr>
            <sz val="10"/>
            <color rgb="FF000000"/>
            <rFont val="Verdana"/>
          </rPr>
          <t xml:space="preserve">Estimate based on growth rate of 5.9% between 2011 and 2012 noted in CRTC's CMR 2013, p.  144. 
</t>
        </r>
      </text>
    </comment>
    <comment ref="L65" authorId="0">
      <text>
        <r>
          <rPr>
            <sz val="10"/>
            <color rgb="FF000000"/>
            <rFont val="Verdana"/>
          </rPr>
          <t xml:space="preserve">Estimate based on 8.6% revenue decline as shown in Newspaper Canada data. </t>
        </r>
      </text>
    </comment>
    <comment ref="L66" authorId="0">
      <text>
        <r>
          <rPr>
            <sz val="10"/>
            <color rgb="FF000000"/>
            <rFont val="Verdana"/>
          </rPr>
          <t>Estimate based on y-o-y growth of .57% from 2011 to 2012.</t>
        </r>
      </text>
    </comment>
    <comment ref="L67" authorId="0">
      <text>
        <r>
          <rPr>
            <sz val="10"/>
            <color rgb="FF000000"/>
            <rFont val="Verdana"/>
          </rPr>
          <t xml:space="preserve">IAB, 2013 Actual + 2014 Estimated Canadian Internet Advertising Revenue Survey, p. 9.
</t>
        </r>
      </text>
    </comment>
    <comment ref="G74" authorId="0">
      <text>
        <r>
          <rPr>
            <sz val="10"/>
            <color rgb="FF000000"/>
            <rFont val="Verdana"/>
          </rPr>
          <t>BK:
BCE AR 2013, p 61</t>
        </r>
      </text>
    </comment>
    <comment ref="H74" authorId="0">
      <text>
        <r>
          <rPr>
            <sz val="10"/>
            <color rgb="FF000000"/>
            <rFont val="Verdana"/>
          </rPr>
          <t xml:space="preserve">BCE AR 2014, p. 62. </t>
        </r>
      </text>
    </comment>
    <comment ref="E75" authorId="0">
      <text>
        <r>
          <rPr>
            <sz val="10"/>
            <color rgb="FF000000"/>
            <rFont val="Verdana"/>
          </rPr>
          <t xml:space="preserve">BK:
Aliant AR 2013, p 55
</t>
        </r>
      </text>
    </comment>
    <comment ref="F75" authorId="0">
      <text>
        <r>
          <rPr>
            <sz val="10"/>
            <color rgb="FF000000"/>
            <rFont val="Verdana"/>
          </rPr>
          <t>BK:
BCE AR 2013 p 73</t>
        </r>
      </text>
    </comment>
    <comment ref="G75" authorId="0">
      <text>
        <r>
          <rPr>
            <sz val="10"/>
            <color rgb="FF000000"/>
            <rFont val="Verdana"/>
          </rPr>
          <t>BK:
BCE AR 2013 p 73</t>
        </r>
      </text>
    </comment>
    <comment ref="H75" authorId="0">
      <text>
        <r>
          <rPr>
            <sz val="10"/>
            <color rgb="FF000000"/>
            <rFont val="Verdana"/>
          </rPr>
          <t xml:space="preserve">BCE AR 2014, p. 73. </t>
        </r>
      </text>
    </comment>
    <comment ref="C76" authorId="0">
      <text>
        <r>
          <rPr>
            <sz val="10"/>
            <color rgb="FF000000"/>
            <rFont val="Verdana"/>
          </rPr>
          <t xml:space="preserve">Telus AR 2009, p. 10. 
</t>
        </r>
      </text>
    </comment>
    <comment ref="D76" authorId="0">
      <text>
        <r>
          <rPr>
            <sz val="10"/>
            <color rgb="FF000000"/>
            <rFont val="Verdana"/>
          </rPr>
          <t>BK:
Telus AR 2013 p 40</t>
        </r>
      </text>
    </comment>
    <comment ref="E76" authorId="0">
      <text>
        <r>
          <rPr>
            <sz val="10"/>
            <color rgb="FF000000"/>
            <rFont val="Verdana"/>
          </rPr>
          <t>BK:
Telus AR 2013 p 40</t>
        </r>
      </text>
    </comment>
    <comment ref="F76" authorId="0">
      <text>
        <r>
          <rPr>
            <sz val="10"/>
            <color rgb="FF000000"/>
            <rFont val="Verdana"/>
          </rPr>
          <t>BK:
Telus AR 2013 p 40</t>
        </r>
      </text>
    </comment>
    <comment ref="G76" authorId="0">
      <text>
        <r>
          <rPr>
            <sz val="10"/>
            <color rgb="FF000000"/>
            <rFont val="Verdana"/>
          </rPr>
          <t>BK:
Telus AR 2013 p 40</t>
        </r>
      </text>
    </comment>
    <comment ref="H76" authorId="0">
      <text>
        <r>
          <rPr>
            <sz val="10"/>
            <color rgb="FF000000"/>
            <rFont val="Verdana"/>
          </rPr>
          <t>Telus AR 2014 p. 40</t>
        </r>
      </text>
    </comment>
    <comment ref="B77" authorId="0">
      <text>
        <r>
          <rPr>
            <sz val="10"/>
            <color rgb="FF000000"/>
            <rFont val="Verdana"/>
          </rPr>
          <t xml:space="preserve">MTS, AR 2005, p. 62.
</t>
        </r>
      </text>
    </comment>
    <comment ref="D77" authorId="0">
      <text>
        <r>
          <rPr>
            <sz val="10"/>
            <color rgb="FF000000"/>
            <rFont val="Verdana"/>
          </rPr>
          <t>BK:
MTS AR 2013, p 21</t>
        </r>
      </text>
    </comment>
    <comment ref="E77" authorId="0">
      <text>
        <r>
          <rPr>
            <sz val="10"/>
            <color rgb="FF000000"/>
            <rFont val="Verdana"/>
          </rPr>
          <t>BK:
MTS AR 2013, p 21</t>
        </r>
      </text>
    </comment>
    <comment ref="F77" authorId="0">
      <text>
        <r>
          <rPr>
            <sz val="10"/>
            <color rgb="FF000000"/>
            <rFont val="Verdana"/>
          </rPr>
          <t>BK:
MTS AR 2013, p 21</t>
        </r>
      </text>
    </comment>
    <comment ref="G77" authorId="0">
      <text>
        <r>
          <rPr>
            <sz val="10"/>
            <color rgb="FF000000"/>
            <rFont val="Verdana"/>
          </rPr>
          <t>BK:
MTS AR 2013, p 21</t>
        </r>
      </text>
    </comment>
    <comment ref="H77" authorId="0">
      <text>
        <r>
          <rPr>
            <sz val="10"/>
            <color rgb="FF000000"/>
            <rFont val="Verdana"/>
          </rPr>
          <t>MTS AR 2014 p. 77</t>
        </r>
      </text>
    </comment>
    <comment ref="B78" authorId="0">
      <text>
        <r>
          <rPr>
            <sz val="10"/>
            <color rgb="FF000000"/>
            <rFont val="Verdana"/>
          </rPr>
          <t xml:space="preserve">SaskTel, AR 2004, p. 13.
</t>
        </r>
      </text>
    </comment>
    <comment ref="C78" authorId="0">
      <text>
        <r>
          <rPr>
            <sz val="10"/>
            <color rgb="FF000000"/>
            <rFont val="Verdana"/>
          </rPr>
          <t xml:space="preserve">SaskTel, AR 2009, p. 45.
</t>
        </r>
      </text>
    </comment>
    <comment ref="D78" authorId="0">
      <text>
        <r>
          <rPr>
            <sz val="10"/>
            <color rgb="FF000000"/>
            <rFont val="Verdana"/>
          </rPr>
          <t xml:space="preserve">Brian Wilkinson:
SaskTel, A/R 2013, p. 47. 
</t>
        </r>
      </text>
    </comment>
    <comment ref="E78" authorId="0">
      <text>
        <r>
          <rPr>
            <sz val="10"/>
            <color rgb="FF000000"/>
            <rFont val="Verdana"/>
          </rPr>
          <t xml:space="preserve">Brian Wilkinson:
SaskTel, A/R 2013, p. 47. 
</t>
        </r>
      </text>
    </comment>
    <comment ref="F78" authorId="0">
      <text>
        <r>
          <rPr>
            <sz val="10"/>
            <color rgb="FF000000"/>
            <rFont val="Verdana"/>
          </rPr>
          <t xml:space="preserve">Brian Wilkinson:
 SaskTel, A/R 2013, p. 47. </t>
        </r>
      </text>
    </comment>
    <comment ref="G78" authorId="0">
      <text>
        <r>
          <rPr>
            <sz val="10"/>
            <color rgb="FF000000"/>
            <rFont val="Verdana"/>
          </rPr>
          <t xml:space="preserve">Brian Wilkinson:
SaskTel, A/R 2013, p. 47. 
</t>
        </r>
      </text>
    </comment>
    <comment ref="H78" authorId="0">
      <text>
        <r>
          <rPr>
            <sz val="10"/>
            <color rgb="FF000000"/>
            <rFont val="Verdana"/>
          </rPr>
          <t>Sasktel AR 2014, p. 57</t>
        </r>
      </text>
    </comment>
    <comment ref="E86" authorId="0">
      <text>
        <r>
          <rPr>
            <sz val="10"/>
            <color rgb="FF000000"/>
            <rFont val="Verdana"/>
          </rPr>
          <t xml:space="preserve">MTS AR 2012, p. 3.
</t>
        </r>
      </text>
    </comment>
    <comment ref="F86" authorId="0">
      <text>
        <r>
          <rPr>
            <sz val="10"/>
            <color rgb="FF000000"/>
            <rFont val="Verdana"/>
          </rPr>
          <t xml:space="preserve">MTS AR 2012, p. 3.
</t>
        </r>
      </text>
    </comment>
    <comment ref="G86" authorId="0">
      <text>
        <r>
          <rPr>
            <sz val="10"/>
            <color rgb="FF000000"/>
            <rFont val="Verdana"/>
          </rPr>
          <t xml:space="preserve">MTS AR 2013 p. 2. </t>
        </r>
      </text>
    </comment>
    <comment ref="K93" authorId="0">
      <text>
        <r>
          <rPr>
            <sz val="10"/>
            <color rgb="FF000000"/>
            <rFont val="Verdana"/>
          </rPr>
          <t>Dwayne Winseck:
CRTC 2014 CMR p. 120.</t>
        </r>
      </text>
    </comment>
    <comment ref="L93" authorId="0">
      <text>
        <r>
          <rPr>
            <sz val="10"/>
            <color rgb="FF000000"/>
            <rFont val="Verdana"/>
          </rPr>
          <t>CRTC 2014 CMR p. 120.</t>
        </r>
      </text>
    </comment>
    <comment ref="J118" authorId="0">
      <text>
        <r>
          <rPr>
            <sz val="10"/>
            <color rgb="FF000000"/>
            <rFont val="Verdana"/>
          </rPr>
          <t>Dwayne Winseck:
CRTC 2014 CMR p. 120.</t>
        </r>
      </text>
    </comment>
    <comment ref="K118" authorId="0">
      <text>
        <r>
          <rPr>
            <sz val="10"/>
            <color rgb="FF000000"/>
            <rFont val="Verdana"/>
          </rPr>
          <t>CRTC 2014 CMR p. 120.</t>
        </r>
      </text>
    </comment>
  </commentList>
</comments>
</file>

<file path=xl/comments23.xml><?xml version="1.0" encoding="utf-8"?>
<comments xmlns="http://schemas.openxmlformats.org/spreadsheetml/2006/main">
  <authors>
    <author/>
  </authors>
  <commentList>
    <comment ref="J44" authorId="0">
      <text>
        <r>
          <rPr>
            <sz val="10"/>
            <color rgb="FF000000"/>
            <rFont val="Verdana"/>
          </rPr>
          <t xml:space="preserve">2013 results average results from Experien Hitwise Canada online's results from Jan-Feb 2013 and June 2014. </t>
        </r>
      </text>
    </comment>
  </commentList>
</comments>
</file>

<file path=xl/comments24.xml><?xml version="1.0" encoding="utf-8"?>
<comments xmlns="http://schemas.openxmlformats.org/spreadsheetml/2006/main">
  <authors>
    <author/>
  </authors>
  <commentList>
    <comment ref="B3" authorId="0">
      <text>
        <r>
          <rPr>
            <sz val="10"/>
            <color rgb="FF000000"/>
            <rFont val="Verdana"/>
          </rPr>
          <t xml:space="preserve">Rogers, AR 2013, p. 45.  Refers to Next Generation "business services". </t>
        </r>
      </text>
    </comment>
    <comment ref="C3" authorId="0">
      <text>
        <r>
          <rPr>
            <sz val="10"/>
            <color rgb="FF000000"/>
            <rFont val="Verdana"/>
          </rPr>
          <t>Rogers AR 2014, p. 48. Refers to Next Generation "business services". Includes Blackiron and Pivot data centres.</t>
        </r>
      </text>
    </comment>
    <comment ref="D3" authorId="0">
      <text>
        <r>
          <rPr>
            <sz val="10"/>
            <color rgb="FF000000"/>
            <rFont val="Verdana"/>
          </rPr>
          <t>Rogers AR 2014, p. 48. Refers to Next Generation "business services". Includes Blackiron and Pivot data centres.</t>
        </r>
      </text>
    </comment>
    <comment ref="D5" authorId="0">
      <text>
        <r>
          <rPr>
            <sz val="10"/>
            <color rgb="FF000000"/>
            <rFont val="Verdana"/>
          </rPr>
          <t>Shaw acquired Denver-based ViaWest in the fall of 2014. http://newsroom.shaw.ca/corporate/newsroom/news/2015-07-16-Data-Centre-Launch-FINAL/. Also http://www.theglobeandmail.com/report-on-business/shaw-to-launch-cloud-computing-aimed-at-enterprise-customers/article25523892/. Revenue estimate based on comment in Globe and Mail article that 6% increase in revenue to $1.34 billion in 4th quarter 2014 due to acquisition of ViaWest. http://www.theglobeandmail.com/report-on-business/shaws-profit-climbs-on-price-hikes-asset-sale-tv-subscribers-exit/article26923554/</t>
        </r>
      </text>
    </comment>
    <comment ref="A7" authorId="0">
      <text>
        <r>
          <rPr>
            <sz val="10"/>
            <color rgb="FF000000"/>
            <rFont val="Verdana"/>
          </rPr>
          <t xml:space="preserve">Acquired 4Degrees Colocation provider in 2014. </t>
        </r>
      </text>
    </comment>
    <comment ref="D7" authorId="0">
      <text>
        <r>
          <rPr>
            <sz val="10"/>
            <color rgb="FF000000"/>
            <rFont val="Verdana"/>
          </rPr>
          <t>Quebecor Financial Review 2014, p 14.</t>
        </r>
      </text>
    </comment>
  </commentList>
</comments>
</file>

<file path=xl/sharedStrings.xml><?xml version="1.0" encoding="utf-8"?>
<sst xmlns="http://schemas.openxmlformats.org/spreadsheetml/2006/main" count="2545" uniqueCount="743">
  <si>
    <t>Wireline Telecommunications Ownership Groups, Revenue ($mill) and Concentration Levels, 1984-2014 (1)</t>
  </si>
  <si>
    <t>BCE</t>
  </si>
  <si>
    <t>Wireline Telecommunications Ownership Groups, Market Shares (based on Revenue), and Concentration Levels, 1984-2014 (1)</t>
  </si>
  <si>
    <t>Bell  (2)</t>
  </si>
  <si>
    <t xml:space="preserve"> Bell Aliant</t>
  </si>
  <si>
    <t xml:space="preserve">  Mar. T&amp;T</t>
  </si>
  <si>
    <t>Aliant</t>
  </si>
  <si>
    <t xml:space="preserve">  NB Tel</t>
  </si>
  <si>
    <t>The data sets and other content of this project 
can be used under Creative Commons licensing 
arrangement by non-commercial use with proper 
attribution, explicit written permission required for
any commercial use.
Creative Commons License This work is licensed under 
a Creative Commons 
Attribution-NonCommercial-ShareAlike 
4.0 International License.</t>
  </si>
  <si>
    <t xml:space="preserve">  New Tel</t>
  </si>
  <si>
    <t xml:space="preserve">  Island Tel</t>
  </si>
  <si>
    <t>Telus (3)</t>
  </si>
  <si>
    <t xml:space="preserve">  BCTel (4)</t>
  </si>
  <si>
    <t>Telus</t>
  </si>
  <si>
    <t xml:space="preserve">  AGT</t>
  </si>
  <si>
    <t>MTS Allstream</t>
  </si>
  <si>
    <t>Shaw</t>
  </si>
  <si>
    <t>Rogers</t>
  </si>
  <si>
    <t xml:space="preserve">Quebecor/Videotron </t>
  </si>
  <si>
    <t>SaskTel</t>
  </si>
  <si>
    <t>Cogeco</t>
  </si>
  <si>
    <t>EastLink (6)</t>
  </si>
  <si>
    <t>Primus (5)</t>
  </si>
  <si>
    <t xml:space="preserve">  London Telecom</t>
  </si>
  <si>
    <t>Primus (1999)</t>
  </si>
  <si>
    <t>Vonage</t>
  </si>
  <si>
    <t>Access Comm Cooperative</t>
  </si>
  <si>
    <t>AT&amp;T (8)</t>
  </si>
  <si>
    <t>MTS</t>
  </si>
  <si>
    <t>Call-Net (Sprint)(9)</t>
  </si>
  <si>
    <t>Rogers (2004)</t>
  </si>
  <si>
    <t>360Networks</t>
  </si>
  <si>
    <t>Bell</t>
  </si>
  <si>
    <t>Group Telecom (10)</t>
  </si>
  <si>
    <t>FibreLink</t>
  </si>
  <si>
    <t>GT Telecom (2000)</t>
  </si>
  <si>
    <t>Axxent (OCI Comm)(11)</t>
  </si>
  <si>
    <t>Telus (2002)</t>
  </si>
  <si>
    <t>Cannect</t>
  </si>
  <si>
    <t>Cyberus (VOIP)</t>
  </si>
  <si>
    <t>Small ILECS (7)</t>
  </si>
  <si>
    <t>Total $</t>
  </si>
  <si>
    <t>CR4</t>
  </si>
  <si>
    <t>HHI</t>
  </si>
  <si>
    <t>CR4 (Bell/Aliant)</t>
  </si>
  <si>
    <t>HHI (Bell/Aliant</t>
  </si>
  <si>
    <t>Notes and Sources Appendix</t>
  </si>
  <si>
    <t>1.         Sector defined by NAICS 517111, which includes local, long distance and resellers. Also includes private line, data and other categories as indicated in the CRTC’s Communication Monitoring Report “Telecommunications Revenues, by market sector” Table (Table 5.1.2 in the 2012 CMR), but excluding Internet Access revenues, which we report separately. Primary sources used: Corporate Annual Reports; the CRTC’s Communication Monitoring Report from 2008 on and Status of Competition in Canadian Telecommunications Markets before it. While the NAICS and CRTC’s categories include these elements the companies each report in a variety of different ways that include a variety of unrelated revenue sources that we seek to remove in order to bring the revenue figures for each company as close to the NAICs and CRTC reporting methods as possible. For instance, NAICS specifically excludes cable and other BDU revenues while BCE’s annual reports include such revenues, as well as other revenue streams far removed from the formal classification scheme, notably The Source retail outlets.  
2.         The wireline revenue figure in this table includes Total Revenues for BCE minus “Equipment and other”, cable, satellite and IPTV and internet (the latter of which are reported in specific charts for those sectors) plus Bell Aliant’s Total Revenues minus Wireless, Equipment and other. For 2012, for instance, see Bell’s 2012 Annual Report (pp. 43-48). BCE consolidated ownership of Bell Aliant in 2014. Revenues of Bell Aliant after 2006, Aliant from 1999-2005 and the predecessors to that entity before 1999 (NBTel, Maritime Tel, NewTel and Island Tel) are included under BCE because it had a dominant ownership of these entities, usually 40-50%. Bell's wireline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  
3.        Telus formed in 1990 as part of the privatization of AGT.  The amalgamation of AGT and BC Tel in 1999 lead to its current form. Revenue figures for wire line based on all “Service and Equipment Revenues” as identified on p. 66 of its 2012 Annual Report minus: “other services and equipment” as well as revenues from its internet access and IPTV services (as reported in our charts for those sectors). External operating revenues, other operating income and intersegment revenue also excluded. BCTel also owned Quebec Tel from 1966.  These figures include revenues from Quebec Tel (approx. 11% of total) for the years prior to BCTel’s merger with AGT and formation of Telus in 1999. Edmonton Tel also acquired by Telus in 1995.
5.        Primus acquired AT&amp;T’s residential long distance subscriber base in 1999.
6.        Operated as Western Cablesystems during the 1980s, and then Regional Cable Systems (Atlantic, Central, Western) from 1993 until 2001, before being acquired by Bragg Communications and renamed Persona Communications.  Subsequent change of ownership in 2006 led to company’s current incarnation as Eastlink.  First cable company to begin telephone service in 1999.
7.        Represents revenues of Small Independent Local Exchange Carriers, which numbered in the hundreds at the outset of the period covered in this study and around 50 today.
8        Created in 1999 through merger of AT&amp;T long distance services, MetroNet, ACC and Netcom.  Residential long distance and Internet services sold to Primus in 1999. Remaining operations branded Allstream in 2003, then acquired by MTS in 2004.
9.        Est. 1993. Offered service under Sprint brand.  Acquired by Rogers in 2004.
10.        Shaw originally had large stake. Acquired by Bell in 2004, with 360 Networks customer base in Eastern Canada sold to Call-Net.
11.        Bankrupt in 2001.</t>
  </si>
  <si>
    <t xml:space="preserve">Quebecor/ Videotron </t>
  </si>
  <si>
    <t>Wireless Telecommunications Ownership Groups, Revenue ($million) and Concentration Levels, 1984-2014 (1)(2)</t>
  </si>
  <si>
    <t>Rogers (2)</t>
  </si>
  <si>
    <t>Internet Service Providers, Market Shares (based on Revenue) and Concentration Levels, 1996-2014 (1)</t>
  </si>
  <si>
    <t>Internet Service Providers Revenues ($millions) and Concentration Levels, 1996-2014 (1)</t>
  </si>
  <si>
    <t>IPTV Revenues (as updated and revised October 2015)</t>
  </si>
  <si>
    <t>Wireless Telecommunications Ownership Groups, Market Shares (Percentage based on $) and Concentration Levels, 1984-2014 (1)</t>
  </si>
  <si>
    <t xml:space="preserve">   Microcell/Fido (3)</t>
  </si>
  <si>
    <t>BCE (2)</t>
  </si>
  <si>
    <t>Broadcast Distribution Ownership Groups (Cable/DTH/IPTV), Revenues ($millions) and Concentration Levels, 1984-2013 (1)</t>
  </si>
  <si>
    <t>Telus (4)</t>
  </si>
  <si>
    <t>Broadcast TV Ownership Groups, Revenue ($Millions) and Concentration Levels, 1984-2014 (1)</t>
  </si>
  <si>
    <t xml:space="preserve">   Clearnet 5</t>
  </si>
  <si>
    <t>Shaw (2)</t>
  </si>
  <si>
    <t>Bell (6)</t>
  </si>
  <si>
    <t>Pay and Specialty Television Ownership Groups,  Market Shares  and Concentration Levels, 1984-2014 (1)</t>
  </si>
  <si>
    <t>Pay &amp; Specialty TV Ownership Groups, Revenue ($Millions) &amp; Concentration Levels, 1984 - 2014 (1)</t>
  </si>
  <si>
    <t>Television Ownership Groups, Revenues ($millions) and Concentration Levels, 1984-2014 (1)</t>
  </si>
  <si>
    <t xml:space="preserve">  Bell</t>
  </si>
  <si>
    <t>Radio Ownership Groups, Revenues (mill$) and Concentration levels, 1984-2014 (1)</t>
  </si>
  <si>
    <t xml:space="preserve">  Bell Aliant</t>
  </si>
  <si>
    <t xml:space="preserve">    Mar. T&amp;T </t>
  </si>
  <si>
    <t xml:space="preserve">    NBTel</t>
  </si>
  <si>
    <t xml:space="preserve">    New Tel </t>
  </si>
  <si>
    <t xml:space="preserve">    Island Tel</t>
  </si>
  <si>
    <t>Moffat (Videon)</t>
  </si>
  <si>
    <t>Shaw (2001)</t>
  </si>
  <si>
    <t>Quebecor/ Videotron</t>
  </si>
  <si>
    <t xml:space="preserve">   Microcel/Fido (3)</t>
  </si>
  <si>
    <t xml:space="preserve"> Shaw Cable</t>
  </si>
  <si>
    <t>Year (1)</t>
  </si>
  <si>
    <t>Radio Ownership Groups, Market Shares (Percentage based on $) and Concentration Levels, 1984-2014 (1)</t>
  </si>
  <si>
    <t>2008 (2)</t>
  </si>
  <si>
    <t>Bell (2)</t>
  </si>
  <si>
    <t>CBC/Radio Canada (2)</t>
  </si>
  <si>
    <t xml:space="preserve">Newspaper Ownership Groups, Revenues ($Millions) and Concentration Levels, 1984-2014 </t>
  </si>
  <si>
    <t>Magazine Publishing Groups, Market Shares (Percentage based on $) and Concentration Levels, 1984-2014 (1)</t>
  </si>
  <si>
    <t>Search Engines, Market Shares, and Concentration Levels, 2004 - 2014</t>
  </si>
  <si>
    <t>Torstar (5)</t>
  </si>
  <si>
    <t>Bell (3)</t>
  </si>
  <si>
    <t>Desktop Browsers</t>
  </si>
  <si>
    <t>News website</t>
  </si>
  <si>
    <t>Quebecor</t>
  </si>
  <si>
    <t>Mrkt Share</t>
  </si>
  <si>
    <t>Total $ (millions)</t>
  </si>
  <si>
    <t xml:space="preserve">Wireline </t>
  </si>
  <si>
    <t>Wireless (1985)</t>
  </si>
  <si>
    <t>Cable</t>
  </si>
  <si>
    <t>TV</t>
  </si>
  <si>
    <t xml:space="preserve">   Osprey</t>
  </si>
  <si>
    <t>Press + Mags</t>
  </si>
  <si>
    <t>Radio</t>
  </si>
  <si>
    <t>Mrtk Share</t>
  </si>
  <si>
    <t>Quebecor (2007)</t>
  </si>
  <si>
    <t>Wireless</t>
  </si>
  <si>
    <t>Google</t>
  </si>
  <si>
    <t>Current (Millions $)</t>
  </si>
  <si>
    <t>Microsoft</t>
  </si>
  <si>
    <t>Yahoo</t>
  </si>
  <si>
    <t>Ask</t>
  </si>
  <si>
    <t>eBay</t>
  </si>
  <si>
    <t>Facebook</t>
  </si>
  <si>
    <t>Other</t>
  </si>
  <si>
    <t>Wireline</t>
  </si>
  <si>
    <t xml:space="preserve">CR4 </t>
  </si>
  <si>
    <t xml:space="preserve"> Shaw DTH</t>
  </si>
  <si>
    <t xml:space="preserve">  Star Choice (3)</t>
  </si>
  <si>
    <t>Shaw (1998)</t>
  </si>
  <si>
    <t xml:space="preserve">  Mountain Cable</t>
  </si>
  <si>
    <t>Shaw (2009)</t>
  </si>
  <si>
    <t>Total $ (mills)</t>
  </si>
  <si>
    <t xml:space="preserve">  Moffat (4)</t>
  </si>
  <si>
    <t>Sources: Experien Hitwise Canada. “Main Data Centre: Top 20 Sites &amp; Engines" and "Hitwise Canada Online trends". Last accessed July 15, 2015 &lt;http://www.experian.com/marketing-services/online-trends-canada.html&gt;  + &lt;http://www.hitwise.com/ca/datacenter/main/dashboard-10557.html&gt;.</t>
  </si>
  <si>
    <t xml:space="preserve">  Monarch Cablesystems</t>
  </si>
  <si>
    <t xml:space="preserve">  Okanagan Skeena Group</t>
  </si>
  <si>
    <t>Moarch (2001)</t>
  </si>
  <si>
    <t xml:space="preserve">  Dartmouth/Acces Cable</t>
  </si>
  <si>
    <t>Shaw (1999)</t>
  </si>
  <si>
    <t xml:space="preserve">  Kootenay Cable Co.</t>
  </si>
  <si>
    <t>Okanagan (1995)</t>
  </si>
  <si>
    <t xml:space="preserve">  Fundy</t>
  </si>
  <si>
    <t xml:space="preserve">  Cable 2000</t>
  </si>
  <si>
    <t>Fundy (1995)</t>
  </si>
  <si>
    <t xml:space="preserve">  Classic</t>
  </si>
  <si>
    <t>Shaw (1994)</t>
  </si>
  <si>
    <t xml:space="preserve">  CUC/Trillium</t>
  </si>
  <si>
    <t>Shaw (1995)</t>
  </si>
  <si>
    <t xml:space="preserve">  Cablecaster</t>
  </si>
  <si>
    <t>Shaw (1992/3)</t>
  </si>
  <si>
    <t xml:space="preserve">  Saskatoon Telecable</t>
  </si>
  <si>
    <t>Shaw (1990)</t>
  </si>
  <si>
    <t>Bell TV (DTH + IPTV)</t>
  </si>
  <si>
    <t xml:space="preserve">  Bell DTH</t>
  </si>
  <si>
    <t xml:space="preserve">  Bell Fibe</t>
  </si>
  <si>
    <t xml:space="preserve">  Cable Atlantic/Avalon Cable</t>
  </si>
  <si>
    <t>Rogers/MetroNet (2000)</t>
  </si>
  <si>
    <t xml:space="preserve">  Maclean-Hunter (5)</t>
  </si>
  <si>
    <t>Rogers (1994)</t>
  </si>
  <si>
    <t>Internet Access</t>
  </si>
  <si>
    <t xml:space="preserve">  Skyline</t>
  </si>
  <si>
    <t>Rogers (1990)</t>
  </si>
  <si>
    <t xml:space="preserve">  Selkirk</t>
  </si>
  <si>
    <t>Videotron</t>
  </si>
  <si>
    <t>Amazon (AWS)</t>
  </si>
  <si>
    <t>Maclean-Hunter</t>
  </si>
  <si>
    <t>MTS (proposed)</t>
  </si>
  <si>
    <t>Quebecor/Videotron</t>
  </si>
  <si>
    <t xml:space="preserve">   Maclean-Hunter/ Sun Media (4)</t>
  </si>
  <si>
    <t xml:space="preserve">  Videotron</t>
  </si>
  <si>
    <t>Quebecor (2000)</t>
  </si>
  <si>
    <t>Quebecor (1997)</t>
  </si>
  <si>
    <t xml:space="preserve">  CF Cable (6)</t>
  </si>
  <si>
    <t>Internet Advertising</t>
  </si>
  <si>
    <t>Videotron (1997)</t>
  </si>
  <si>
    <t>Post Media</t>
  </si>
  <si>
    <t xml:space="preserve">  Northern Cable</t>
  </si>
  <si>
    <t>CFCable (1993)</t>
  </si>
  <si>
    <t xml:space="preserve">  Telesag</t>
  </si>
  <si>
    <t>Videotron (1989)</t>
  </si>
  <si>
    <t xml:space="preserve">  Telecable</t>
  </si>
  <si>
    <t>CFCable (1994)</t>
  </si>
  <si>
    <t xml:space="preserve">  Cableworks/Western Co-ax</t>
  </si>
  <si>
    <t>EastLink</t>
  </si>
  <si>
    <t xml:space="preserve">  Regional Cablesystems (7)</t>
  </si>
  <si>
    <t>Quebecor/Videtron (7)</t>
  </si>
  <si>
    <t>Bragg/EastLink (2001)</t>
  </si>
  <si>
    <t>Access Comm. Coop</t>
  </si>
  <si>
    <t xml:space="preserve">   Maclean Hunter</t>
  </si>
  <si>
    <t>Microsoft Explorer</t>
  </si>
  <si>
    <t>Your-Link</t>
  </si>
  <si>
    <t>CBC</t>
  </si>
  <si>
    <t>Google Chrome</t>
  </si>
  <si>
    <t>Firefox</t>
  </si>
  <si>
    <t>Rogers 1994</t>
  </si>
  <si>
    <t>MSN / Sympatico</t>
  </si>
  <si>
    <t>Apple Safari</t>
  </si>
  <si>
    <t>Transcontinental</t>
  </si>
  <si>
    <t>Magazine Ownership Groups, Revenues ($Millions) and Concentration Levels, 1984-2014</t>
  </si>
  <si>
    <t>CNN</t>
  </si>
  <si>
    <t>Opera</t>
  </si>
  <si>
    <t>CTV</t>
  </si>
  <si>
    <t>--</t>
  </si>
  <si>
    <t>Canoe</t>
  </si>
  <si>
    <t>Cyberpresse</t>
  </si>
  <si>
    <t>Globe &amp; Mail</t>
  </si>
  <si>
    <t>BBC</t>
  </si>
  <si>
    <t>Toronto Star</t>
  </si>
  <si>
    <t>Wind</t>
  </si>
  <si>
    <t>Global</t>
  </si>
  <si>
    <t>Subs</t>
  </si>
  <si>
    <t xml:space="preserve">   Telemedia</t>
  </si>
  <si>
    <t>Transcont.</t>
  </si>
  <si>
    <t>ARPU</t>
  </si>
  <si>
    <t>Time Warner*</t>
  </si>
  <si>
    <t>Public</t>
  </si>
  <si>
    <t>American Media*</t>
  </si>
  <si>
    <t xml:space="preserve">  Astral (9)</t>
  </si>
  <si>
    <t>Total Parl $</t>
  </si>
  <si>
    <t>See Notes and Sources Appendix.</t>
  </si>
  <si>
    <t>TV/Total Appropriation</t>
  </si>
  <si>
    <t>Radio/Total Appropriation</t>
  </si>
  <si>
    <t>TV Parl $</t>
  </si>
  <si>
    <t>Mobilicity</t>
  </si>
  <si>
    <t>Technical information: National probability sample, weighted by standard demographics.  Telephone interviews. Conducted in 2004, 2007 and 2011 by CROP (2004), Research House (2007) and Institute for Social Research, York University (2011) for the Canadian Internet Project (a member of the World Internet Project). Sample sizes for each year respectively were 1482, 1306 and 1651. 
Note:  The most mentioned websites in the other category are local newspaper websites (in all 3 years).  Cells marked by – were less than 2%. Technical information: National probability sample, weighted by standard demographics.Telephone interviews.Conducted in 2004, 2007 and 2011 by CROP (2004), Research House (2007) and Institute for Social Research, York University (2011) for the Canadian Internet Project (a member of the World Internet Project. NOTE:  The variation in the size of the other category is probably explained by (1) coding decisions, (2) uncertainty about news websites in 2004 and (3) more options in 2011. Table calculated by Fred Fletcher, York University, from the Canadian Internet Project Data sets (Charles Zamaria, Director).  Reports on the 2004 and 2007 surveys are available at www.ciponline.ca.</t>
  </si>
  <si>
    <t xml:space="preserve">   CTV Globemedia (4)</t>
  </si>
  <si>
    <t>Adv + Other $</t>
  </si>
  <si>
    <t>Conv TV Total</t>
  </si>
  <si>
    <t>Specialty TV</t>
  </si>
  <si>
    <t>Total TV</t>
  </si>
  <si>
    <t xml:space="preserve">Radio </t>
  </si>
  <si>
    <t xml:space="preserve">      Bell Globe media </t>
  </si>
  <si>
    <t>Radio Sales + Other</t>
  </si>
  <si>
    <t>Radio Total</t>
  </si>
  <si>
    <t>TV Parl $ (ENG)</t>
  </si>
  <si>
    <t>CTVgm 2007</t>
  </si>
  <si>
    <t xml:space="preserve">        CHUM</t>
  </si>
  <si>
    <t>Adv $ + other</t>
  </si>
  <si>
    <t xml:space="preserve">CTVgm Rogers(2007)  </t>
  </si>
  <si>
    <t>Pay &amp; Spec</t>
  </si>
  <si>
    <t>TV Total</t>
  </si>
  <si>
    <t>Radio  Parl $</t>
  </si>
  <si>
    <t>TV Parl $ (FR)</t>
  </si>
  <si>
    <t xml:space="preserve">        CTV (5)</t>
  </si>
  <si>
    <t>Bell (2000)</t>
  </si>
  <si>
    <t xml:space="preserve">         Netstar (6)</t>
  </si>
  <si>
    <t>Shaw + Corus (7)</t>
  </si>
  <si>
    <t>Newspaper Ownership Groups, Market Shares (Percentage based on $) and Concentration Levels, 1984-2014 (1)</t>
  </si>
  <si>
    <t>Explornet</t>
  </si>
  <si>
    <t>TekSavvy</t>
  </si>
  <si>
    <t># of Providers</t>
  </si>
  <si>
    <t xml:space="preserve">  Shaw</t>
  </si>
  <si>
    <t>Access Comm Coop</t>
  </si>
  <si>
    <t>Your-Link  (9)</t>
  </si>
  <si>
    <t>AOL</t>
  </si>
  <si>
    <t>Cybersurf</t>
  </si>
  <si>
    <t>Call-Net (Sprint) (6)</t>
  </si>
  <si>
    <t>Look (7)</t>
  </si>
  <si>
    <t xml:space="preserve">  Internet Direct (8)</t>
  </si>
  <si>
    <t>Look</t>
  </si>
  <si>
    <t>Craig</t>
  </si>
  <si>
    <t>AT&amp;T</t>
  </si>
  <si>
    <t>PsiNet (10)</t>
  </si>
  <si>
    <t>Telus/Look</t>
  </si>
  <si>
    <t>Television Ownership Groups, Market Shares (Percentage based on $) and Concentration Levels, 1984-2014 (1)</t>
  </si>
  <si>
    <t>Istar</t>
  </si>
  <si>
    <t>PsiNet</t>
  </si>
  <si>
    <t>Technovision/ Uniserve</t>
  </si>
  <si>
    <t>Rhythms (11)</t>
  </si>
  <si>
    <t>Pathway (2001)</t>
  </si>
  <si>
    <t>Hook-Up</t>
  </si>
  <si>
    <t>Netcom (1997)</t>
  </si>
  <si>
    <t xml:space="preserve">  Astral Media</t>
  </si>
  <si>
    <t xml:space="preserve">  Astral (17)</t>
  </si>
  <si>
    <t xml:space="preserve">    Standard</t>
  </si>
  <si>
    <t>Astral (2007)</t>
  </si>
  <si>
    <t xml:space="preserve">    Telemedia</t>
  </si>
  <si>
    <t>Standard/ Astral (2002)</t>
  </si>
  <si>
    <t xml:space="preserve">    Okanagan Skeena</t>
  </si>
  <si>
    <t>Bell (4)</t>
  </si>
  <si>
    <t>Telemedia (1999)</t>
  </si>
  <si>
    <t xml:space="preserve">    Radio-mutuel</t>
  </si>
  <si>
    <t>Astral</t>
  </si>
  <si>
    <t xml:space="preserve">  Corus</t>
  </si>
  <si>
    <t xml:space="preserve">   CTVGlobemedia</t>
  </si>
  <si>
    <t xml:space="preserve">   Bell Globe Media</t>
  </si>
  <si>
    <t>CTVgm (2007)</t>
  </si>
  <si>
    <t xml:space="preserve">    CHUM</t>
  </si>
  <si>
    <t>BGM 2006</t>
  </si>
  <si>
    <t xml:space="preserve">  Canwest</t>
  </si>
  <si>
    <t>CBC/Radio Canada(2)</t>
  </si>
  <si>
    <t xml:space="preserve">  Alliance Atlantis (8)</t>
  </si>
  <si>
    <t>Canwest 2007</t>
  </si>
  <si>
    <t xml:space="preserve">  WIC</t>
  </si>
  <si>
    <t>Shaw / Canwest</t>
  </si>
  <si>
    <t xml:space="preserve">   Atlantis</t>
  </si>
  <si>
    <t>Alliance</t>
  </si>
  <si>
    <t xml:space="preserve">   Allarcom</t>
  </si>
  <si>
    <t>WIC (1991)</t>
  </si>
  <si>
    <t xml:space="preserve">Rogers </t>
  </si>
  <si>
    <t>CBC/Radio Canada</t>
  </si>
  <si>
    <t>Quebecor (10)</t>
  </si>
  <si>
    <t xml:space="preserve">    CTVGlobemedia (2)</t>
  </si>
  <si>
    <t xml:space="preserve">   Craig</t>
  </si>
  <si>
    <t>CHUM &amp; QMI</t>
  </si>
  <si>
    <t xml:space="preserve">  Astral</t>
  </si>
  <si>
    <t xml:space="preserve">   Videotron</t>
  </si>
  <si>
    <t>QMI</t>
  </si>
  <si>
    <t>Pelmorex</t>
  </si>
  <si>
    <t>Fairchild (Chinavision)</t>
  </si>
  <si>
    <t xml:space="preserve">      Bell Globemedia (3)</t>
  </si>
  <si>
    <t>Blue Ant</t>
  </si>
  <si>
    <t>Cogeco (as TQS from 2001-08)</t>
  </si>
  <si>
    <t>CTVgm</t>
  </si>
  <si>
    <t>Remstar 2008</t>
  </si>
  <si>
    <t>Bauer Media*</t>
  </si>
  <si>
    <t>DHX</t>
  </si>
  <si>
    <t xml:space="preserve">        CTV (Baton) (4)</t>
  </si>
  <si>
    <t>Notes and Sources Appendix.</t>
  </si>
  <si>
    <t>Maple Leaf Sports &amp; Entertainment</t>
  </si>
  <si>
    <t>1.        Sector defined by NAICS 518111, which includes dial-up and high-speed Internet access. Primary sources used: the CRTC’s Communication Monitoring Report and the Telecommunications Monitoring Report as well as the Status of Competition in Canadian Telecommunications Markets before it; Statistics Canada Annual Survey of Internet Service Providers and Related Services and Cansim Table 3540006; Company revenues obtained primarily from Annual Reports. Estimated French Revenue is based on the percentage of Quebec high speed internet subscribers # out of national high speed internet subscribers # in each year according to Statistics Canada, Table 353-0003. Internet access revenues for 1996 are actually for 1997 because not available before that and to help maintain consistency for comparisons across sectors where 1996 is the common denominator.  
2.        Revenues of Bell Aliant after 2006, Aliant from 1999-2005 and the predecessors to that entity before 1999 (NBTel, Maritime Tel, NewTel and Island Tel) are included under BCE because it had a dominant ownership of these entities, usually 40-50%. Bell's wired 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  The wiredline revenue figure in this table combines Total External Revenues for BCE and Bell Aliant and subtracts Equipment and other, TV, Wireless and internet. For 2011, for instance, see Bell’s 2011 Annual Report (pp. 44-47).
3.        Telus formed in 1990 as part of the privatization of AGT.  The amalgamation of AGT and BC Tel in 1999 lead to its current form.
4.        BCTel also owned Quebec Tel from 1966.  These figures include revenues from Quebec Tel (approx. 11% of total) for the years prior to BCTel’s merger with AGT and formation of Telus in 1999.
5.        Primus acquired 28,000 residential subscribers from ATT in 1999 and another 10,000 by acquiring Infinity Online.
6.        Est. 1993. Offered service under Sprint brand. Acquired by Rogers in 2004.
7.        Uses end of year figures for 2003 for 2004 data because of accounting changes at Look.
8.        Reflects merger of Internet Direct (20,000 subs) and Total Net (31,000 subs) in late 1996.
9.        Owned by Vecima Networks Inc.
10.        Acquired by Telus in 2001.  PsiNet acquired Istar in 1998 and TotalNet (60,000 subscribers) in 1999. Figures for 2000 are for corporate accounts.
11.        50/50 owned by Rhythms Canada and Axxent.</t>
  </si>
  <si>
    <t>Bell / Rogers</t>
  </si>
  <si>
    <t xml:space="preserve">  CTV GlobeMedia</t>
  </si>
  <si>
    <t xml:space="preserve">Other </t>
  </si>
  <si>
    <t xml:space="preserve">   CTV Globemedia (5)</t>
  </si>
  <si>
    <t>Bell Globemedia</t>
  </si>
  <si>
    <t>Hearst*</t>
  </si>
  <si>
    <t xml:space="preserve">    Bell Globemedia (3)</t>
  </si>
  <si>
    <t>St. Joseph Media</t>
  </si>
  <si>
    <t xml:space="preserve">          Netstar</t>
  </si>
  <si>
    <t>Readers Digest*</t>
  </si>
  <si>
    <t>Bonnier</t>
  </si>
  <si>
    <t>National Geog.</t>
  </si>
  <si>
    <t xml:space="preserve">    Bell Globemedia </t>
  </si>
  <si>
    <t xml:space="preserve">      CTV (Baton) (4)</t>
  </si>
  <si>
    <t>Conde Nast*</t>
  </si>
  <si>
    <t>Spec and Pay TV $</t>
  </si>
  <si>
    <t>House &amp; Home</t>
  </si>
  <si>
    <t>Bell Fibe TV (1)</t>
  </si>
  <si>
    <t>Meredith*</t>
  </si>
  <si>
    <t xml:space="preserve">        Electrohome (5)</t>
  </si>
  <si>
    <t>Look (MDS) (9)</t>
  </si>
  <si>
    <t>Now</t>
  </si>
  <si>
    <t>Baton (1997)</t>
  </si>
  <si>
    <t>Telnet/Bell (2009)</t>
  </si>
  <si>
    <t>Baton/CTV</t>
  </si>
  <si>
    <t xml:space="preserve">        Moffatt </t>
  </si>
  <si>
    <t>Wenner*</t>
  </si>
  <si>
    <t xml:space="preserve">          Electrohome (5)</t>
  </si>
  <si>
    <t>(Baton 1997)</t>
  </si>
  <si>
    <t xml:space="preserve">       Blackburn (6)</t>
  </si>
  <si>
    <t>Air Canada (En Route)</t>
  </si>
  <si>
    <t>20 Baton (1993)</t>
  </si>
  <si>
    <t xml:space="preserve">       MidCanada Comm </t>
  </si>
  <si>
    <t>Conv TV Priv</t>
  </si>
  <si>
    <t>Baton (1989)</t>
  </si>
  <si>
    <t>CableCos (Movie Entertainment)</t>
  </si>
  <si>
    <t xml:space="preserve">       Huron Broadcasting</t>
  </si>
  <si>
    <t xml:space="preserve">       Yorkton TV</t>
  </si>
  <si>
    <t>N/A</t>
  </si>
  <si>
    <t xml:space="preserve">       Sunwapta</t>
  </si>
  <si>
    <t>Electrohome</t>
  </si>
  <si>
    <t>CHUM</t>
  </si>
  <si>
    <t>Total$</t>
  </si>
  <si>
    <t>CTVgm/Rogers</t>
  </si>
  <si>
    <t xml:space="preserve">   Craig (7)</t>
  </si>
  <si>
    <t>CHUM &amp; QMI  (Dec 04)</t>
  </si>
  <si>
    <t>Press + Mag</t>
  </si>
  <si>
    <t>LCBO (Food &amp; Drink)</t>
  </si>
  <si>
    <t>Press +Mag</t>
  </si>
  <si>
    <t>Cable, Sat &amp; IPTV</t>
  </si>
  <si>
    <t xml:space="preserve">  Canwest (2)</t>
  </si>
  <si>
    <t>(Bell Globemedia)</t>
  </si>
  <si>
    <t>Buzz Media*</t>
  </si>
  <si>
    <t>Standard/Astral (2002)</t>
  </si>
  <si>
    <t>CDN Geographic</t>
  </si>
  <si>
    <t>Cable &amp; Sat. Dist</t>
  </si>
  <si>
    <t xml:space="preserve">          Moffatt</t>
  </si>
  <si>
    <t>ISP</t>
  </si>
  <si>
    <t xml:space="preserve">         Blackburn (6) (CFPL London)</t>
  </si>
  <si>
    <t xml:space="preserve">       Blackburn (6) (CFPL London)</t>
  </si>
  <si>
    <t>CR4 (Shaw/Corus )</t>
  </si>
  <si>
    <t xml:space="preserve">         MidCanada Comm </t>
  </si>
  <si>
    <t xml:space="preserve">         Huron Broadcasting</t>
  </si>
  <si>
    <t xml:space="preserve">         Yorkton TV</t>
  </si>
  <si>
    <t>Total $ 2011</t>
  </si>
  <si>
    <t xml:space="preserve">         Sunwapta</t>
  </si>
  <si>
    <t>Total $ 2012</t>
  </si>
  <si>
    <t>Total $ 2013</t>
  </si>
  <si>
    <t xml:space="preserve">  CHUM (8)</t>
  </si>
  <si>
    <t>HHI(Shaw/Corus )</t>
  </si>
  <si>
    <t>Shaw+Corus (8)</t>
  </si>
  <si>
    <t xml:space="preserve">   Shaw</t>
  </si>
  <si>
    <t>CHUM (7)</t>
  </si>
  <si>
    <t>CTV Rogers (2007) (10)</t>
  </si>
  <si>
    <t>Shaw + Corus (9)</t>
  </si>
  <si>
    <t>Southam</t>
  </si>
  <si>
    <t xml:space="preserve">   Corus</t>
  </si>
  <si>
    <t>Hollinger</t>
  </si>
  <si>
    <t>Canwest</t>
  </si>
  <si>
    <t xml:space="preserve">   Canwest (9)</t>
  </si>
  <si>
    <t xml:space="preserve">   Craig (8)</t>
  </si>
  <si>
    <t xml:space="preserve">   WIC (10)</t>
  </si>
  <si>
    <t xml:space="preserve"> Canwest (1998)</t>
  </si>
  <si>
    <t>Rogers (11)</t>
  </si>
  <si>
    <t xml:space="preserve">  Maclean Hunter (12)</t>
  </si>
  <si>
    <t xml:space="preserve">  Selkirk (13)</t>
  </si>
  <si>
    <t>Maclean-Hunter (1988)</t>
  </si>
  <si>
    <t>Quebecor TVA (14)</t>
  </si>
  <si>
    <t xml:space="preserve">  Videotron (15)</t>
  </si>
  <si>
    <t>CHUM &amp; QMI (Dec 04)</t>
  </si>
  <si>
    <t xml:space="preserve">  TeleMetropole (TVA) (16)</t>
  </si>
  <si>
    <t>Videotron (1987)</t>
  </si>
  <si>
    <t>Shaw+Corus (9)</t>
  </si>
  <si>
    <t xml:space="preserve">  Maclean Hunter</t>
  </si>
  <si>
    <t xml:space="preserve">  Pathonic (17)</t>
  </si>
  <si>
    <t>Videotron (25)</t>
  </si>
  <si>
    <t>V Interactions (Remstar)</t>
  </si>
  <si>
    <t>M-H (1989)</t>
  </si>
  <si>
    <t>Cogeco TQS (2001-08) (18)</t>
  </si>
  <si>
    <t>Remstar</t>
  </si>
  <si>
    <t>Thomson</t>
  </si>
  <si>
    <t>Shaw Corus</t>
  </si>
  <si>
    <t xml:space="preserve">  TQS (Quebecor 1997-2001)</t>
  </si>
  <si>
    <t xml:space="preserve">  TQS (CFCF/Pouliot (19)</t>
  </si>
  <si>
    <t xml:space="preserve">  Metro-media</t>
  </si>
  <si>
    <t>QMI &amp; Cons. (1997) (20)</t>
  </si>
  <si>
    <t>Aboriginal People's Network (APN)</t>
  </si>
  <si>
    <t>Maclean Hunter</t>
  </si>
  <si>
    <t xml:space="preserve">  Western Int'l Comm</t>
  </si>
  <si>
    <t>NewCap</t>
  </si>
  <si>
    <t>Radio Nord (20)</t>
  </si>
  <si>
    <t>Moffatt</t>
  </si>
  <si>
    <t>CR4 (Bell/Bell Aliant)</t>
  </si>
  <si>
    <t>1.        Revenue apportioned according to the distribution of ownership stakes in each service when jointly owned. Sources: Statistics Canada, Table 3570001 - Television broadcasting industry, V32211503 Canada; Operating revenue, total; Pay and specialty television, the CRTC's Individual Pay, Pay-per-view, Video-on-Demand and Specialty Services Financial Summaries, the Communication Monitoring Report as well as various corporate Annual Reports cited below. When revenues from the CRTC clash with audited annual reports, as they do with respect to Astral, Bell and Corus in significant ways, audited financial documents are chosen because they are subject to a more stringent process of review. The CRTC’s figures based on its Aggregate Annual Returns and Individual Pay, Pay-per-view, Video-on-Demand and Specialty Services Financial Summaries appear to be low for Astral, Bell and Corus, in particular (see earlier and below). 
2.        The Communication Monitoring Report allocates CTVGlobemedia's 2010 revenues to Bell. I have kept them with CTV until 2011, when Bell received approval to take over CTV.  This is consistent with Bell's 2012 Annual Report, where it observes that it re-assumed control of CTV after the 1st qtr of 2011. In its submission to these hearings, Bell cites total TV market revenues of $1820.9 (Supplemental Brief, p. 30; Goldstein, 2013, pp. 5-6, 9). Subtract $836.6 million from this as identified for CTV 1 and CTV 2 in the CRTC's Aggregate Annual Report, and this leaves $984.3 million for Pay and Specialty TV services ). These are the figure I use. I do so because they lines up well with figures reported in Bell's 2012 Annual Report, which cites $1455 million in revenue for the last three quarters of 2011 (p. 48). In contrast to the figure of $984.3 assumed in Bell’s submission, the CRTC's Individual Pay, Pay-per-view, Video-on-Demand and Specialty Services Financial Summaries yields a figure that is $123.1 million less, using the FDM method of calculation, $1697.8 million. The differences seem to be too large to be accounted for by differences between the "broadcast year" and the calendar year. Using the "winner-takes-all" method, however, where the dominant owner obtains all revenues while revenues are shared 50-50 for co-owned services and minority stakes discarded, closes the gap. Astral, 2011 Annual Report, p. 21; PWC, Astral Valuation Abridged, 2012, p. 25; Corporate Annual Reports, including the CBC’s Annual Report. 
3.        Bell acquired a 37.5% stake in Maple Leafs Sports and Entertainment in 2012 along with Rogers (also a 37.5% stake) and Kilmer Sports (Tanenbaum). The acquisition gave it a controlling interest in NBA TV, Leaf TV and Gol TV. Bell’s 2013 Annual Report, page 133 states that Bell and Rogers acquired their 37.5% interests, respectively, in MLSE in August 2012 (http://www.crtc.gc.ca/eng/archive/2012/2012-443.pdf). While the 2013 Communication Monitoring Report lists NBA TV, Leaf TV and GolTV under Rogers's Pay and Specialty Channels, it does not do so for Bell. We have attributed Bell's stake in MLSE to its 2013 revenues. In the year after its acquisition of MLSE (i.e. 2013), Bell acquired Astral Media and the following English-language television services: The Movie Network, Mpix/HBO Canada and TMN Encore. It also acquired the following French-language services: SuperÉcran, CinéPop, Canal Vie, Canal D, VRAK TV, and Z Télé. Through a series of divestitures required by the Competition Bureau in return for approval of the transaction, Bell divested several English-language TV services to Shaw Corus: Teletoon/Télétoon, Teletoon Retro and Cartoon Network (Canada). In the same transaction, Bell also divested Astral's 50% ownership stakes in two French language serivces to Shaw/Corus, which was already the other half owner of both channels: Historia and Séries+.  Bell entered into a sales agreement with DHX Media on November 27th, 2013 for the following English-language TV services that it had also agreed to divest: The Family Channel, MPix, Disney XD,Disney Jr. (English).  The agreement was approved by the CRTC in July 2014 (http://www.crtc.gc.ca/eng/archive/2014/2014-388.pdf). 
4.        CTV sold to BCE (68.5% voting interest) in December 2000.  BCE joined CTV with the Globe &amp; Mail and from 2000 to early-2007 operated them as Bell Globemedia.  After acquiring CHUM in 2006, BCE reduced its stake to 15%, while Woodbridge Holdings (the Thomson family) gained control (40%) in the renamed CTVglobemedia. Includes CTVglobemedia’s take-over of CHUM in 2007 as well as the CRTC requirement that it sell off the City TV stations (which were eventually sold to Rogers) while keeping the A-Channel stations and 26 cable and satellite channels.
5.        See Note 4 above under Conventional TV (Canada). 
6.        The controlling owner of Netstar before its sale to CTV in 2000 was Labatts Brewery. 
7.        Also see Note 10 under Conventional TV (Canada). Shaw and Corus treated as a single entity to reflect common ownership by Shaw family. Separate lines for Shaw and Corus show their respective revenues and market shares. The CR and HHI scores in the first column of each year covered is based on combined Shaw Corus, while the second column displays bothi firms separately. Revenues for Shaw since its purchase of Canwest Global Television in 2010 from the CRTC's Individual Pay, Pay-per-view, Video-on-Demand and Specialty Services Financial Summaries. For Corus, revenues are from its Annual Reports, for 2002 (p. 22), 2006 (p. 24), 2008 (p. 23), 2010 (p. 14) and 2012 (p. 19), minus deductions for its three conventional TV stations (see above) and, after 2009, to remove the “content segment” that had previously been shown on its own but thereafter folded into the TV segment. Sum of individual services from the CRTC's Individual Pay, Pay-per-view, Video-on-Demand and Specialty Services Financial Summaries are less than those shown in Corus’ Annual Reports by the following amounts in 2008, 2010, 2011 and 2012 respectively, after the adjustments just described: $36.8 million, $24.8 million, $42.3 million and $41.9 million, respectively. See Corus’s Annual Reports for 2002 (p. 22), 2006 (p. 24), 2008 (p. 23), 2010 (p. 14) and 2012 (p. 19).  
8.        Company incorporated as Alliance Entertainment in 1984, renamed Alliance Atlantis after merger with Atlantis, and acquired in 2007 by Canwest/Goldman Sachs.
9.        Astral's total tv revenues are based on figures reported in Annual Report 2011 (p. 21) as well as PWC, Astral Valuation Abridged (2012, p. 52), i.e. 2011 = $557.9m. This figure is based on Astral's Pay and Specialty TV segment's (total revenues = $582.2m for 2011) but excludes Astral's in-house advertising and online divisions (see PWC, Astral Valuation Abridged, p. 45). This is about $20 million higher than the total of $537 million in revenues reported by the CRTC for Astral in its Individual Pay, Pay-per-view, Video-on-Demand and Specialty Services Financial Summaries. The break-down of French and English revenues is shown in PWC’s Astral Valuation report for 2010 and 2011. I use the same ratio to determine English and French revenues for 2012. Prior to 2010, I split the revenues 53:47 between English- and French-language services based on their respective weight in the CRTC's Financial Summaries. 
10.        Quebecor required by CRTC to sell TQS after acquiring Videotron/TVA.  Cogeco acquired 60% stake in TQS in 2001, while Bell Globemedia gained the rest.</t>
  </si>
  <si>
    <t>Jim Pattison</t>
  </si>
  <si>
    <t>Okanagan Skeena</t>
  </si>
  <si>
    <t xml:space="preserve">Source Notes: Netmarketshare. http://marketshare.hitslink.com/ Figures as of December for each year. </t>
  </si>
  <si>
    <t>Canwest (10)</t>
  </si>
  <si>
    <t xml:space="preserve">Private Conv TV </t>
  </si>
  <si>
    <t>Mobile Browsers</t>
  </si>
  <si>
    <t>Rawlco</t>
  </si>
  <si>
    <t>CBC Parliamentary $</t>
  </si>
  <si>
    <t xml:space="preserve">CBC Advertising + </t>
  </si>
  <si>
    <t>Google Android/Chrome</t>
  </si>
  <si>
    <t>Maritime Broadcast</t>
  </si>
  <si>
    <t>Golden West (Hildebrand)</t>
  </si>
  <si>
    <t>HHI(Bell/Aliant )</t>
  </si>
  <si>
    <t>Baton (1993)</t>
  </si>
  <si>
    <t xml:space="preserve">  Alliance Atlantis (11)</t>
  </si>
  <si>
    <t xml:space="preserve"> Hollinger NCL</t>
  </si>
  <si>
    <t>1.         Sector includes the revenues of cable and satellite distributors as well as IPTV services (NAICS 517112).  Primary sources used: the CRTC’s Communication Monitoring Report, Annual Aggregate Returns, Broadcasting Policy Monitoring Report and corporate annual reports. 
2.         After 1998, I combine the revenues from Shaw Cable and Star Choice, the DTH satellite television service, to reflect their common ownership by the Shaw family after that point.  Western International Communication had previous been the dominant owner in Star Choice.  In 1998, the Shaw and Asper families acquired and divvied up the assets of WIC, with its satellite and cable interests going to Shaw and its many television stations to the Asper family, which transformed them into the second commercial, English-language television network, Global TV – one of the cornerstones of the Canwest media conglomerate. 
3.        Acquired from Western Int’l Communication by Shaw in 1998. Before then, Star Choice and Shaw are treated as separate entities, while I treat them as a single entity afterwards given their common ownership.
4.         For the years 1984, 1988 and 1992, I divided Moffat’s revenues by .55 to arrive at a figure for its cable revenues.  These were based on textual clues in FPInfomart’s Historical Profiles for the company.  
5.         Acquired by Rogers in 1994.
6.        CF Cable was acquired by Groupe Videotron in 1997.
7.        Operated as Western Cablesystems during the 1980s, and then Regional Cable Systems (Atlantic, Central, Western) from 1993 until 2001, before being acquired by Bragg Communications and renamed Persona Communications.  Subsequent change of ownership in 2006 led to company’s current incarnation as Eastlink.  First cable company to begins telephone service in 1999.
8.        Acquired by Bragg Communications, 2006.
9.        Uses end of year figures for 2003 for 2004 data because of accounting changes at Look.</t>
  </si>
  <si>
    <t>Canwest (2007)</t>
  </si>
  <si>
    <t>Desktop Operating System</t>
  </si>
  <si>
    <t xml:space="preserve">    Atlantis</t>
  </si>
  <si>
    <t>Microsoft Windows</t>
  </si>
  <si>
    <t>Apple iOS</t>
  </si>
  <si>
    <t xml:space="preserve">  WIC (12)</t>
  </si>
  <si>
    <t>Linux</t>
  </si>
  <si>
    <t xml:space="preserve">  Hollinger (3)</t>
  </si>
  <si>
    <t>Mobile Operating System</t>
  </si>
  <si>
    <t>Canwest (1998)</t>
  </si>
  <si>
    <t xml:space="preserve">    Allarcom</t>
  </si>
  <si>
    <t>All TV</t>
  </si>
  <si>
    <t xml:space="preserve">  Southam </t>
  </si>
  <si>
    <t>CBC/ Radio Canada (13)</t>
  </si>
  <si>
    <t>Google Android</t>
  </si>
  <si>
    <t>Java</t>
  </si>
  <si>
    <t>Symbian</t>
  </si>
  <si>
    <t>Power Corp/Gesca/Unimedia</t>
  </si>
  <si>
    <t>Blackberry (RIM)</t>
  </si>
  <si>
    <t>Kindle</t>
  </si>
  <si>
    <t>BCTel</t>
  </si>
  <si>
    <t>Maclean- Hunter</t>
  </si>
  <si>
    <t>Pay &amp; Spec. TV</t>
  </si>
  <si>
    <t>Torstar</t>
  </si>
  <si>
    <t>Internet Advertising, 2014</t>
  </si>
  <si>
    <t>$</t>
  </si>
  <si>
    <t>Conv. TV</t>
  </si>
  <si>
    <t>Market Share</t>
  </si>
  <si>
    <t>Rogers (14)</t>
  </si>
  <si>
    <t>Thomson/ Globe &amp; Mail (6)</t>
  </si>
  <si>
    <t>CTVGlobemedia</t>
  </si>
  <si>
    <t>Postmedia</t>
  </si>
  <si>
    <t>Power Corp</t>
  </si>
  <si>
    <t>Total</t>
  </si>
  <si>
    <t>Znaimer (Zoomer)</t>
  </si>
  <si>
    <t>Q on Q Media</t>
  </si>
  <si>
    <t>Cottage Life</t>
  </si>
  <si>
    <t xml:space="preserve">   Canwest (10)</t>
  </si>
  <si>
    <t xml:space="preserve">        CTV (6)</t>
  </si>
  <si>
    <t>DecorMag</t>
  </si>
  <si>
    <t>CTV Globemedia (7)</t>
  </si>
  <si>
    <t>Grid (formerly Eye Weekly)</t>
  </si>
  <si>
    <t>Post Media (Fin. Post)</t>
  </si>
  <si>
    <t>Alpha*</t>
  </si>
  <si>
    <t xml:space="preserve">         Netstar (7)</t>
  </si>
  <si>
    <t>Cineplex (Famous)</t>
  </si>
  <si>
    <t>Pearson</t>
  </si>
  <si>
    <t>Bell Globemedia (BCE/Thomson)</t>
  </si>
  <si>
    <t>Thomson/ Globe and Mail (6)</t>
  </si>
  <si>
    <t>Total Revenues</t>
  </si>
  <si>
    <t xml:space="preserve">Videotron </t>
  </si>
  <si>
    <t>Press</t>
  </si>
  <si>
    <t>CTV Globemedia</t>
  </si>
  <si>
    <t>Glacier/Continental (8)</t>
  </si>
  <si>
    <t xml:space="preserve">  Maclean Hunter (15)</t>
  </si>
  <si>
    <t>Newspapers</t>
  </si>
  <si>
    <t>Trinity (Black Press) (10)</t>
  </si>
  <si>
    <t xml:space="preserve">   WIC (11)</t>
  </si>
  <si>
    <t>FP CDN Newspapers</t>
  </si>
  <si>
    <t>1.        The total value of the radio sector includes private commercial radio revenue + public (CBC, all revenues) and non-commercial radio stations. Baseline revenues for the industry as a whole from Statistics Canada Table 3570002 - Radio broadcasting industry, by North American Industry Classification System (NAICS), Canada, provinces, territories and selected census metropolitan areas, annually  (v41617222 Canada; Operating revenue, total (Dollars); Private radio broadcasting + v41617223 Canada; Operating revenue, total (Dollars); Public and non-commercial radio broadcasting) and estimates for CBC annual appropriation before 1998 from its Annual Reports. This CRTC’s Aggregate Annual Returns and Annual Reports, both from publicly-traded companies and the CBC, are used for the revenues of individual firms, unless stated otherwise. 
2.        To arrive at the CBC’s total revenue, I used the CRTC’s annual English and French-language Aggregate Annual Returns for data since 2008 as well as the CBC's Annual Report. CBC figures include a portion of the federal annual appropriation and other sources of revenue (e.g. one time capital injections, program sales, etc.). Prior to 2008, neither the CRTC nor the CBC published disaggregated data for the CBC's conventional television and radio services. For 2007, 30% of its annual funding was apportioned to radio -- a method that leads to results consistent with figures published in Canada, Standing Committee on Canadian Heritage (2008). CBC/Radio Canada: Defining Distinctiveness in the Changing Media Landscape.  Viewed September 16, 2012; Government of Canada, Mandate Review Committee (1996). Making Our Voices Heard: Canadian Broadcasting and Film for the 21st Century. Hull, Quebec: Department of Canadian Heritage, Chapter 6, Table 1.
3.        The acquisition of Astral will add another 84 radio stations to Bell's roster, for a total of 116, although Bell will sell off 10 stations. There are no available revenue figures for these 10 stations, but using the number of stations out of Bell's total (10/116) we can arrive at a proxy of 8.6% of Astral's revenues. Since none of the stations to be sold are in Quebec (the "French Market"), all of this total -- estimated at $29.6 million can be subtracted from Astral's 2011 revenues in English-language markets. 
4.        For Astral, see Note 9 in Pay and Specialty TV (Canada) above. 
5.        Cogeco notes in its Annual Report for 2011 that its revenues were $42.3 million higher than the year before (2010), largely because of its station swap with Shaw/Corus (pp. 2, 29). The CRTC's Aggregate Annual Report states Cogeco's revenue for 2010 as $41.8 million, thus $41.8 million + $42.3 million = $84.1 million. This is much lower than the CRTC's Aggregate Annual Reports figure for 2011: $113.6 -- a figure is high relative to the CRTC's Aggregate Annual Report for 2012 as well, $95.4 million. As such, I use the $84.1 million, a figure that conversations with Cogeco officials has confirmed as correct.  See page one for a description of the radio swap with Shaw Corus and page 29 for the following quote: "Revenue from radio activities increased by $42.3 million, mainly due to the Québec Radio Stations Acquisition".  
6.        Since Corus and Shaw are under common ownership and control, I treat them as a single entity. Shaw spun out its television and radio programming interests in 1999 to form Corus as a separately listed company, although one where the Shaw family still held ownership control. Of the 10 stations that Bell intends to sell-off if its bid for Astral is approved, two English-language stations are to be acquired by Corus.</t>
  </si>
  <si>
    <t>CTVGlobemedia (2)</t>
  </si>
  <si>
    <t xml:space="preserve">   Horizon </t>
  </si>
  <si>
    <t>Glacier/ Continetal</t>
  </si>
  <si>
    <t>Halifax Herald</t>
  </si>
  <si>
    <t>Brunswick News (9)</t>
  </si>
  <si>
    <t xml:space="preserve">  Selkirk (16)</t>
  </si>
  <si>
    <t>Irving Group</t>
  </si>
  <si>
    <t>Brunswick News</t>
  </si>
  <si>
    <t>London Free Press</t>
  </si>
  <si>
    <t>Le Devoir</t>
  </si>
  <si>
    <t>Great West Newspapers</t>
  </si>
  <si>
    <t>Quebecor (18)</t>
  </si>
  <si>
    <t>L'Acadie Nouvelle</t>
  </si>
  <si>
    <t>Sterling</t>
  </si>
  <si>
    <t>Hollinger (1986)</t>
  </si>
  <si>
    <t>Mags</t>
  </si>
  <si>
    <t>St. Catherines Group</t>
  </si>
  <si>
    <t>Rogers (12)</t>
  </si>
  <si>
    <t xml:space="preserve"> Southam</t>
  </si>
  <si>
    <t>Armadale (Sifton)</t>
  </si>
  <si>
    <t>Unimedia</t>
  </si>
  <si>
    <t>Hollinger (1987)</t>
  </si>
  <si>
    <t>Annex (11)</t>
  </si>
  <si>
    <t>QMI (2003)</t>
  </si>
  <si>
    <t>Nfld. Capital</t>
  </si>
  <si>
    <t xml:space="preserve">Hollinger (1997) </t>
  </si>
  <si>
    <t>Bowes Publ.</t>
  </si>
  <si>
    <t>Toronto Sun (1987)</t>
  </si>
  <si>
    <t>Avg. Daily Circ. (mill)</t>
  </si>
  <si>
    <t>Total # of Daily Newspapers</t>
  </si>
  <si>
    <t>Daily Newspaper $ (000s)</t>
  </si>
  <si>
    <t xml:space="preserve">  Videotron (19)</t>
  </si>
  <si>
    <t>Community Newspaper $ (000s)</t>
  </si>
  <si>
    <t>WIC</t>
  </si>
  <si>
    <t>Total Revenues (000s)</t>
  </si>
  <si>
    <t xml:space="preserve">Total Network Media CR4 (From Top 20 w Telecoms Chart) </t>
  </si>
  <si>
    <t xml:space="preserve">  TeleMetropole (TVA) (20)</t>
  </si>
  <si>
    <t xml:space="preserve">  Pathonic (21)</t>
  </si>
  <si>
    <t>PostMedia</t>
  </si>
  <si>
    <t>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t>
  </si>
  <si>
    <t xml:space="preserve">  Maclean Hunter (13)</t>
  </si>
  <si>
    <t xml:space="preserve">MTS </t>
  </si>
  <si>
    <t>Bell Aliant (2)</t>
  </si>
  <si>
    <t xml:space="preserve">  Selkirk (14)</t>
  </si>
  <si>
    <t xml:space="preserve">HHI </t>
  </si>
  <si>
    <t>Quebecor TVA (15)</t>
  </si>
  <si>
    <t>Notes and Sources</t>
  </si>
  <si>
    <t>Magazines</t>
  </si>
  <si>
    <t xml:space="preserve">  Videotron (16)</t>
  </si>
  <si>
    <t>Internet Adv</t>
  </si>
  <si>
    <t>1.        Sector defined by NAICS code 51111 and includes daily, community and free newspapers, in both their print and online versions. The chart uses three data sources (i) Cansim Table 361-0003. Newspaper publishers, summary statistics, by North American Industry Classification System (NAICS); (ii) Newspapers Canada’s annual Daily Newspapers by Circulation Group and (iii) corporate annual reports. Statistics Canada’s (2010) Newspaper Publishers (Catalogue no. 63-241-X) is also useful because it explains what is included in the Cansim Table Total Revenue figures, i.e. advertising, circulation/subscriptions, custom printing, distribution of flyers and other operating revenues for both Daily and Community Newspapers (see page 3, Table 4) http://www.statcan.gc.ca/pub/63-241-x/63-241-x2012001-eng.pdf. This is important because it helps to explain some of the reasons for why the revenue figures that Statistics Canada publishes are consistently higher than those published by Newspaper Canada. The two have come closer together after changes to the latter’s methodology, but a difference of, on average, 8.5% remained in the 2009 and 2010. I used this difference when calculating/estimating the 2011 and 2012 revenues to close the gap between Newspapers Canada’s reported actual figures (See Total newspaper Revenues 2001-2011 Trending and Revenue Report: Daily Newspapers, 4th Q 2012) and estimated figures for Statistics Canada, which has not yet published data for 2011, 2012 and 2013, but is scheduled to do so in 2014, when the figures we are using will be revisited and revised if and as necessary. The overall point, as my talks with an official within the newspaper industry who calculates revenues for the sector, is that a flurry of recent methodological revisions have left the results “a mess”, mainly on account of terminological differences over what constitutes a daily, a weekly, and a community paper. 
Several of the companies’ in the newspaper sector are privately traded and do not publish their revenues (e.g. the Globe and Mail, Power Corp, Black Press, Glacier, FP CDN). In these cases I use the company’s share of total weekly circulation as a proxy for their share of total industry revenues. When doing so for the Globe and Mail and La Press (Power Corp) I include the circulation levels of dailies and community papers. In the case of the former, the results lines up reasonably close to revenue figures published when it was owned by BCE. Globe and Mail data during that period (2000 – 2006) was part of its media category but newspaper revenues could be broken out after accounting for the known revenues of its television and radio holding published in various CRTC documents. The approach used in any specific case is indicated in comments attached to the relevant cells, with all estimates are shown in red. There is a certain irony in the idea that those who are entrusted to deliver the news on everybody else are so secretive when it comes to data about themselves.  
Data for 1984 and 1988 is based on four sources: Canada (2003) Interim Report on Canadian News Media, p. 9, CNA (2003). Ownership of Canadian Newspapers. Toronto, ON: CNA, Kent, T. (1981). Royal Commission on Newspapers: Report. Ottawa: Supply and Services Canada and Jackson, J. (1999). Newspaper Ownership in Canada: An Overview of the Davey Committee and the Kent Commission Studies. Ottawa: Government of Canada, Political and Social Affairs Division.  Viewed December 16, 2008 at http://dsp-psd.tpsgc.gc.ca/Collection-R/LoPBdP/BP/prb9935-e.htm.  There were few significant changes in the 1980s in Canadian newspaper ownership, probably because of the heightened political sensitivity to press concentration as registered by two events: the Royal Commission on Newspapers and charges laid against the two biggest newspaper groups – Thomson and Southam – by the federal government under the Combines Investigation Act (although these were eventually dismissed).  Changes that did occur are outlined in Jackson (1999) and CNA (2003), and accounted for in this table. Market share data for 2004 is based mainly on data for 2005, as reported by CNA, 2005, which states that there were no significant changes in market shares for the previous two years – a point confirmed by the evidence offered in the following source: Canada, Senate Committee on Transportation and Communication (2003) Interim Report on Canadian News Media, p. 9. 
Finally, prior to 2002, data was not maintained on community newspaper publishers and their respective circulation figures. To account for this absence, I used the existing community newspaper publishing groups share of community newspaper circulation at this time as a proxy for earlier years, adjusting for known changes in ownership, e.g. of the Southam group to Hollinger in 1996 and of the vast majority of the latter to Canwest in 2000.  Given the modest share of community newspaper revenue out of total newspaper revenue in this period – i.e. between 16-20% -- and the seemingly relative stability of circulation shares over time, this is not likely to badly skew the results. 
2.        After the sale of the Southam Group by Hollinger CNLP to Canwest in 2000 the remaining papers in this group were slowly sold off to others, first with some sold to Power Corp in 2000, a second group sold to Osprey in 2002 and the last to a new entity, Glacier Ventures International/Glacier Canadian Newspapers (formerly Horizon), in 2006.
3.        Hollinger acquired the Southam group in 1996 and re-organized that group, Sterling and Unimedia under a new entity: Hollinger Canadian Newspapers Ltd. After the sale of the Southam Group by Hollinger CNLP to Canwest in November 2000 the remaining papers in this group were slowly sold off to others, first with some sold to Power Corp in 2000, a second group sold to Osprey in 2002 and the last to a new entity, Glacier Ventures International/Glacier Canadian Newspapers (formerly Horizon), in 2006.
4.        Maclean-Hunter acquired 50% share in Toronto Sun Publishing in 1982, and increased that stake to 57% in 1987.  Acquired Financial Post, with 1.9% of circulation in 1987, and Bowes Publishing (.3% of circulation) in 1988.  Rogers took over Maclean-Hunter’s stake after acquiring that company in 1994.  Renamed Sun Media in 1996. FPInfomart, Historical Reports: Sun Media. 1998.
5.        Torstar has been treated as a separate group throughout the period covered here, even though it only formally took on that status in 1998 after acquiring four independent newspapers.
6.        Thomson reduced the number of daily newspapers it owned from 40 to 9 between 1992 and 1996, with Hollinger and Southam acquiring 12 each in 1995 and 1996, respectively, before Hollinger acquired Southam at end of 1996. In 1995, Thomson sold:  The Barrie Examiner, The Belleville Intelligencer, The Cambridge Daily Reporter, The Guelph Daily Mercury, The Lindsay Daily Post, The Niagara Falls Review, The Orillia Packet &amp; Times, The Pembroke Observer, The Peterborough Examiner, The Welland Tribune, The Moose-Jaw Times-Herald, The Prince Albert Daily Herald, Simcoe Reformer, Woodstock Daily Sentinel Review. In the following year, it sold: 1996 Thomson sells Cape Breton Post, Corner Brook Western Star, St. John's Evening Telegram, Charlottetown Guardian, New Glasgow News, Truro Daily News, Sudbury Star, Sarnia Observer, Cornwall Standard Freeholder, Chatham Daily News, Timmins Daily News, Kirkland Lake Northern Daily News. Two other dailies close: Thunder Bay Times-News, Vernon Daily News. At the end of 1996 Thomson still owned: the Globe and Mail, Winnipeg Free Press, Victoria Times-Colonist, Thunder Bay Chronicle Journal, Lethbridge Herald, Kelowna Daily Courier, Brandon Sun, Nanaimo Daily Free Press, Penticton Herald. In 1998, it sold the Victoria Times-Colonist, followed two years later by teh sale of Medicine Hat News and Lethbridge Herald to Horizon and the Globe and Mail to Bell Globemedia. In 2001, it sold the Winnipeg Free Press (Canadian Newspaper Association (2003), History of Ownership of Canadian Newspapers). 
7.        In essence, 2 major Canadian newspaper chains – Southam and Thomson – formed basis of Hollinger, which in turn became Canwest until 2010 when that entity went bankrupt before re-emerging under new ownership by Postmedia (Canadian Newspaper Assoc., 2005, pp. 16-21).  
8.        To determine the Globe and Mail’s revenues from 2000 onwards, published revenue figures for Bell Globemedia in 2004 were used as a baseline (BCE Annual Report 2004, p. 55). The segment included CTV and the Globe and Mail. The revenue estimate for the Globe and Mail is the balance of Bell Globemedia revenues after revenues for CTV conventional and pay &amp; specialty channels are accounted for. Using this year as a baseline shows that whilst the Globe and Mail accounted for 6.5% of average daily circulation that year (see Newspaper Canada sources cited above), it accounted for 8.5% of total newspaper revenue. In other words, revenues were larger than daily circulation by a multiple of 1.4. I used this figure multiplied by the Globe and Mail’s average daily circulation for each of the other years covered after 2000 to arrive at the sums shown in this table. The Thomson family sold its stakes in the Globe and Mail to BCE in 2000 but the family returned to a leading place in the Canadian newspaper business in 2006 after translating its minority ownership interest in Bell Globemedia (31.8% vs BCE’s 68.5%) into a dominant stake (40% via its holding company, Woodbridge Holdings versus Teachers Pension Fund, Torstar and BCE at 25%, 20% and 15%, respectively) into the renamed CTV Globemedia, the publisher of the Globe and Mail. The Globe and Mail was split from CTV in 2011 when the latter was acquired by BCE. The Teachers Pension Fund and Torstar also sold down their stakes in 2011, thereby leaving the Thomson family with an 85% stake in the paper and BCE the remaining 15%. 
9.        The remaking of Horizon involved common ownership of two separate entities – Glacier (Medicine Hat News and Lethbridge Herald) and Continental (Sherbrooke Record, Penticton Herald, Kelowna Daily Courier and Thunder Bay Chronicle-Journal).  I have treated them as one rather than as two separate entities, in contrast to CNA, 2008, pp. 12-13. Also includes ALTA.  
10.        Irving Group renamed by 2000.
11.        Shaw Communications, one of Canada’s top 3 cable providers, established a 21% stake in Black Press in 1987.
12.        Newfoundland Capital’s Halifax Daily News sold to Hollinger in 1997, while its 2 remaining papers – The Simcoe Reformer and the Woodstock Sentinel Review become part of Annex by 1999.</t>
  </si>
  <si>
    <t>1.         The total value of the broadcast television sector includes private commercial tv revenue + CBC (all revenues). Including the annual federal appropriation adds considerably to the value of annual television markets.  Primary sources used: Statistics Canada, Table 3570001 - Television broadcasting industry, by North American Industry Classification System (NAICS), annually (V80997 Canada; Operating revenue, total; Private conventional television (1976 to 2013, Data: 38), the CRTC’s Communication Monitoring Report, Aggregate Annual Returns, Broadcasting Policy Monitoring Report and corporate annual reports. Most studies exclude the federal subsidy and focus only on the CBC’s commercial revenues. Some argue this gives the CBC a place in TV markets all out of proportion to its audience share. Including all sources of CBC income adds the corresponding amount to the bottom line of the conventional tv sector. For better our worse, our method measures all sources of income, so here too we do the same for the CBC even if the results are out of synch with its incomparably smaller market share. In market concentration terms, this method also under-weights the private players.  
 2.        CBC figures include all revenues: the federal annual appropriation, advertising, specialty and pay services, program sales, etc. To arrive at the CBC’s total revenue, I used the CRTC’s annual English and French-language Aggregate Annual Returns for data since 2008 as well as the CBC's Annual Report. Data for Annual Appropriations, Advertising and Specialty services are from CBC Annual Reports, and based on the fiscal year ending March 31. TV and Radio data from 2008 onwards are based on the broadcast year as reported by the CRTC in its Aggregate Annual Returns. The CBC’s TV and Radio revenues released by the CRTC cannot be fully reconciled with the total revenue figures published by the CBC. The difference, however, is small and insignificant. Prior to 2008, neither the CRTC nor CBC published disaggregated data for the CBC's conventional television services. To account for this, estimated revenues for television and radio are based on a 70/30% split between television and radio, in line with the average in the years between 2008 and 2013 for which the actual ratio is known from the CRTC's Aggregate Annual Returns. Additional background indicating that this is a reasonable estimate of the revenue split over time comes from: Government of Canada, Mandate Review Committee (1996). Making Our Voices Heard: Canadian Broadcasting and Film for the 21st Century.  Hull, Quebec: Department of Canadian Heritage, Chapter 6, Table 1.  Additional background for this table includes Canada, Standing Committee on Canadian Heritage (2008). CBC/Radio Canada: Defining Distinctiveness in the Changing Media Landscape; the CRTC’s Broadcasting Policy Monitoring Report and Financial Summaries;Friends of Canadian Broadcasting (2004). Change in Parliamentary Appropriation; Government of Canada, Mandate Review Committee (1996). Making Our Voices Heard: Canadian Broadcasting and Film for the 21st Century.  Hull, Quebec: Department of Canadian Heritage, Chapter 6, Table 1, 3.         
3.        Bell re-acquired CTV in 2011. CTV was first sold to BCE (68.5% voting interest) in December 2000.  BCE combined CTV with the Globe &amp; Mail at the time and from 2000 to early-2007 operated them as Bell Globemedia.  After acquiring CHUM in 2006, BCE reduced its stake to 15%, while Woodbridge Holdings (the Thomson family) gained control (40%) in the renamed CTVglobemedia. CTVglobemedia operated CTV from 2007 until 2011. CTVglobemedia also took-over CHUM in 2007 but was required by the CRTC to sell off that entity’s City TV stations (which were eventually sold to Rogers). It kept the A-Channel stations  which now for the CTV2 network. Bell acquired three more affiliates that had previously been owned by Corus in 2015: Channel 12 (Oshawa), CHEX TV (Peterborough) and CKWS TV (Kingston). Also see footnote 8 below. 
4.          Between 1997 and 1998, Baton consolidated ownership over CTV after acquiring the ownership stakes in the network of Western International Communications (WIC) (28.6%), Electrohome (14.3%), Moffatt (14.3%) and CHUM (14.3%)  – the latter in a swap of stations held by Baton in Ontario for others CHUM owned in the Maritime provinces.  The other major shareholder in CTV in the past had been MacleanHunter, through its ownership of CFCN (Calgary) (also see endnote 13).  CTV revenues prior to Baton’s consolidation of ownership are attributed to its respective shareholders prior to 1998.  
5.         Based on 26% of company’s total revenues, as reported in Financial Post, Survey of Industrials, and figures confirmed by journalistic accounts.  
6.        Amounts for 1984-1990 are estimates based on journalistic accounts of Blackburn’s television (CFPL London) revenues in 1992 and work backwards on the assumption of 4% average annual growth rate and the fact that what Blackburn owned during this period occurred did not change significantly.  
7.        Amounts for 1984-1992 are estimates based on 1996 figures published by CRTC and with two key assumptions: (1) average annual growth rate of 4% in line with industry trends and (2) that Craig’s significant expansion as a western television station ownership group had not yet occurred. 
8.        Shaw and Corus are treated as a single entity to reflect common ownership by the Shaw family. Separate lines for Shaw and Corus are provided to illuminate their respective revenues and market shares. The CR and HHI scores in the unshaded rows at the bottom of the table are based on the combined Shaw Corus tally, while the shaded rows are for both firms individually. In addition to Shaw's acquisition of Canwest Global Television in 2010, Corus owned three TV stations since 2000 that it operated as CBC affiliates: Channel 12 (Oshawa), CHEX TV (Peterborough) and CKWS TV (Kingston). These were sold to Bell in 2015. To estimate their revenues, we deduct the total of Corus’s TV segment from the Corus’ total revenues for pay and specialty TV services in the CRTC's Individual Pay, Pay-per-view, Video-on-Demand and Specialty Services Financial Summaries. Beginning in 2009, Corus folded its “Content” segment into its TV segment, giving further clues into how much of the latter category the broadcast TV stations accounted for. I settled on an estimate that the TV stations accounted for just over 6% of Corus' total revenues. The precise amount doesn’t matter too much because, either way, the revenues end up with Shaw Corus, either under the pay and specialty label, where I put the difference between the revenue reported in Corus’ annual reports, after the just described adjustments, on one hand, and the CRTC’s figures in the Individual Pay, Pay-per-view, Video-on-Demand and Specialty Services Financial Summaries, on the other. See CRTC’s Aggregate Annual Returns for Shaw and Corus’s Annual Reports for 2002 (p. 22), 2006 (p. 24), 2008 (p. 23), 2010 (p. 14) and 2012 (p. 19).  
9.        Revenues for 1988 to 1996 derived from Canwest Global’s (2000) Annual Report, which contains revenue figures going back to 1987. 1
10.        Figures for 1996 from FPInfomart, Historical Reports: WIC Western International Communications, Ltd, p. 12.  Figures for 1996 are based on the same share played by conventional TV in WIC’s total revenue as in 1998: 60%.  Prior to that, conventional tv played a larger role, approximately 67%, between 1985 and 1992, before the significant expansion of its pay and specialty channels after the acquisition of Allarcom (1991), the addition of MovieMax (1994) and Teletoon and ROBTv in 1996.  The rest was accounted for by its radio operations and its satellite carrier, Cancom – a company in which it held half the ownership after 1985.  For 1984, the split is estimated at 75/25 in favour of television versus radio.  
11.        Rogers revenue figures since 2008 from the CRTC’s Aggregated Annual Reports. Revenues before that apportioned on the basis of the weight given to them in the company’s “media category” (21%, as stated in the 2003 Annual Report). From this amount, I subtracted the figures published in the CRTC’s Individual Pay, Pay-per-view, Video-on-Demand and Specialty Services Financial Summaries (1996-2007) to obtain a figure for conventional television revenues.  Individual pay, pay-per-view, video-on-demand and specialty services
12.        MacleanHunter’s main television interests in the 1980s was the CTV affiliate, CFCN (Calgary). In 1988, MacleanHunter acquired Selkirk, the Southam newspaper giant’s broadcasting arm, whose television stakes included ownership of CHCH/Niagara Television (Hamilton), Calgary TV (CFAC), Lethbridge Broadcasting Company (CFACTVL), 50% of British Columbia Broadcasting Company (CHAN, Vancouver and CHEK, Victoria) and 37% of Okanagan Valley Television (CHBC, Kelowna). Based on data and commentary in MacleanHunter’s Annual Reports, television is estimated as accounting for 2.5% of its total revenues in 1984 and 8% in each of the subsequent years reported. MacleanHunter was merely a way-station in the transfer of the Selkirk TV stations.  In 1989, it sold BC Broadcasting (CHANTV and CHEK); Okanagan Valley Television (CHBC), Lethbridge Television for $216.5m to WIC.  In 1993, Niagara Television (CHCH, Hamilton) was also sold to WIC for $40.5m.  Now WIC owned all of these television stations exclusively, whereas it had previously shared ownership of them with Selkirk.  WIC also acquired Selkirk’s stake in the CTV network with these purchases, doubling its interest to a 28.6% stake in the network.  Rogers, which bought MacleanHunter in 1994, and thus CFCN (Calgary), sold the latter and its 14.3% stake in CTV to Baton in 1996.  By the end of 1997, Baton completed the consolidation of its control over CTV by acquiring WIC’s 28.6% stake, merging with Electrohome (14.3%), swapping stations in Ontario that it had acquired from the Blackburn Group (CFPL, London, ON) (1993) for stations held by CHUM in the Maritimes (14.3%), and acquiring CFCF from Videotron.  Also see endnote 4.  
13.        Quebecor’s revenues since 2008 from CRTC Aggregated Annual Returns and from Annual Reports in earlier years. 
14.        Selkirk was 47% owned by Canada’s largest newspaper chain at the time, Southam. Television is estimated to account for 3/4 of Selkirk’s total revenues; radio for the rest.  Base figure from FP Survey of Industrials, 1985 and 1989.  Prior to its acquisition by MacleanHunter, Selkirk owned Niagara Television (CHCH) (Hamilton), Calgary Television (CFAC) and Lethbridge Television (CFAC).  It also had 50% and 37% ownership stakes in BCTV (CHEK and CHAN in Victoria and Vancouver, respectively) and Okanagan Television (CHBC, Kelowna), with the balance held by WIC (Griffiths Family).  WIC consolidated its control over these television stations in 1989, except for CHCH, which followed in 1993.
15.        Videotron started as a cable company and moved into broadcasting in 1987 with the purchase of TeleMetropole/CFTM (see endnote 21).  Figures for 1988 through to 1996 are based on  FPInfomart, Historical Reports: TVA, Ltd and FPInfomart, Historical Reports: Videotron. 
16.        TVA was created as a commercial Quebecbased network in 1971 by TeleMetrole, with CFTM as its flagship station.  It led a group of four other television station owners – Pathonic, Radio Nord, Télé Inter Rives and Télévision de la Baie des Chaleurs – as the backbone of the TVA network.  Videotron (Chagnon family) acquired TeleMetrole in 1987 and Pathonic in 1990.  Pathonic, incidentally, held the controlling interest (45%) in Télé Inter Rives, which also passed to Videotron.  By 1992, Videotron had consolidated its ownership over TVA, which it kept until it being taken over itself by Quebecor (Peledeau family) in 2000.  Quebecor had also previously acquired TQS in 1997 as the leading part of a consortium  Cogeco, Cancom, and other TQS affiliates.  Once it acquired TVA, regulators forced Quebecor to sell its stake in TQS and, in particular, CFCF.  CFCF was acquired by WIC (Griffith family), while Cogeco (Audet) and Bell Globemedia acquired the rest of TQS (60/40) and ran it from 2001 until 2008, before selling it yet again.  95% of its reported revenues attributed to its television operations, as per comments in its Annual Reports.    
17.        Revenue estimate based on the sale of comparable television stations/network to those held by Pathonic for a multiple of between 2.7 and 2.9 times revenue.  Videotron acquired 93% equity in Pathonic for $52.4m in 1988/89 and then the 45% stake that Pathonic had held in Télé Inter Rives by 1992.  
18.        TQS acquired in 1997 by a consortium led by Quebecor and minor stakes held by Cogeco, Cancom and TQS affiliate Radio Nord, with flagship station CFCF (Pouliot/TQS) sold separately to WIC for $70m. Quebecor required by CRTC to sell TQS after acquiring Videotron/TVA.  Cogeco acquired 60% stake in TQS in 2001, while Bell Globemedia gained the rest. 
19.        Figures for CFCF/TQS based on data from FP Survey of Industrials: CFCF.  Estimates based on the following assumptions: first, that Jean A. Pouliot controlled 2/3 of TQS during this time; second, revenue for TQS was split 1/3 to CFCF, one-third to Pouliot’s other tv stations in Quebec (CFAP, CJFP, CJPC), and the remaining third among three other groups affiliated with TQS: Radio Nord, Télé Inter Rives and Télévision de la Baie des Chaleurs, each with an approximately 10% stake in TQS; finally, statements made by the Quebec Supreme Court in the 1996 case between Cogeco and CFCF.  
20.        Radio Nord-owned television stations were affiliates of the two main commercial Quebec television networks: TVA, CBC/RC and TQS.  It held the third largest interest in TVA after Tele-Metropole (70%) and Pathonic (20%), with two other smaller companies holding smaller stakes yet.  I estimate Radio Nord’s share of TVA revenues at 5%.  It’s stake in TQS is 10%</t>
  </si>
  <si>
    <t xml:space="preserve">  TeleMetropole (TVA) (17)</t>
  </si>
  <si>
    <t xml:space="preserve">  Pathonic (18)</t>
  </si>
  <si>
    <t>MTS Allstream (4)</t>
  </si>
  <si>
    <t>Glacier/Continetal</t>
  </si>
  <si>
    <t>SaskTel (5)</t>
  </si>
  <si>
    <t>Access Comm. Coop (9)</t>
  </si>
  <si>
    <t>1987/88</t>
  </si>
  <si>
    <t>1984/5</t>
  </si>
  <si>
    <t>Music</t>
  </si>
  <si>
    <t>Cogeco TQS (2001-08) (19)</t>
  </si>
  <si>
    <t xml:space="preserve">1. Note: Data for Annual Appropriations, Advertising and Specialty services are from CBC Annual Reports, and based on the fiscal year ending March 31. TV and Radio data from 2008 onwards are based on the broadcast year as reported by the CRTC in its Aggregate Annual Return. The CBC’s TV and Radio revenues released by the CRTC cannot be fully reconciled with the total revenue figures published by the CBC. The difference, however, is small and insignificant. </t>
  </si>
  <si>
    <t xml:space="preserve">2. Annual Appropriations includes one-time injections, such as the downsizing allocation in 1995/96, as well as capital amortization, operating capital, etc. </t>
  </si>
  <si>
    <t>Bell CTV (3)</t>
  </si>
  <si>
    <t>3. Prior to 2008, the calculation of revenues for television and radio are based on a 70/30% split between television and radio, in line with the average in the years between 2008 and 2013 for which the actual ratio is known on the basis of CBC data published in the CRTC's Aggregate Annual Returns for television and radio. Additional background indicating that this is a reasonable estimate of the revenue split over time comes from: Government of Canada, Mandate Review Committee (1996). Making Our Voices Heard: Canadian Broadcasting and Film for the 21st Century.  Hull, Quebec: Department of Canadian Heritage, Chapter 6, Table 1.  Additional background for this table includes Canada, Standing Committee on Canadian Heritage (2008). CBC/Radio Canada: Defining Distinctiveness in the Changing Media Landscape. www2.parl.gc.ca/HousePublications/Publication.aspx? Language=E&amp;Mode=1&amp;Parl=39&amp;Ses=2&amp;DocId=3297009&amp;File=0; CRTC Communication Monitoring Report and Broadcasting Monitoring Report. www.crtc.gc.ca; Friends of Canadian Broadcasting (2004). Change in Parliamentary Appropriation.  http://friends.ca/files/PDF/CBCgrant04.pdf.</t>
  </si>
  <si>
    <t xml:space="preserve">4. The average split between English- and French-language radio services for which revenues are known, because published in the CRTC's Aggregate Annual Returns between 2008 and 2013, is 59% and 41%, respectively. These figures are used to estimate the share of English- and French-language share of the annual parliamentary appropriation for years before 2008.  </t>
  </si>
  <si>
    <t>Radio Nord (24)</t>
  </si>
  <si>
    <t xml:space="preserve">  TQS (CFCF/Pouliot (10)</t>
  </si>
  <si>
    <t>Look (MDS) (10)</t>
  </si>
  <si>
    <t>Total IPTV $</t>
  </si>
  <si>
    <t>Selkirk</t>
  </si>
  <si>
    <t>Inflation Calculation Rate</t>
  </si>
  <si>
    <t>Total IPTV Connections</t>
  </si>
  <si>
    <t>Real (Millions $, 2014)</t>
  </si>
  <si>
    <t>Fairchild</t>
  </si>
  <si>
    <t>AGT</t>
  </si>
  <si>
    <t>Radio Nord (21)</t>
  </si>
  <si>
    <t xml:space="preserve">Cogeco </t>
  </si>
  <si>
    <t>Technovision/Uniserve</t>
  </si>
  <si>
    <t xml:space="preserve">Craig </t>
  </si>
  <si>
    <t>CHUM &amp; QBC (Dec 04)</t>
  </si>
  <si>
    <t>Cogeco TQS (2001-8) (22)</t>
  </si>
  <si>
    <t>CableCo Revenues</t>
  </si>
  <si>
    <t xml:space="preserve"> CHUM &amp; QMI</t>
  </si>
  <si>
    <t>Remstar June 2008</t>
  </si>
  <si>
    <t>TQS/CFCF</t>
  </si>
  <si>
    <t xml:space="preserve">  TQS (CFCF/Pouliot) (23)</t>
  </si>
  <si>
    <t>Toronto Sun</t>
  </si>
  <si>
    <t>QMI &amp; Consortium (20)</t>
  </si>
  <si>
    <t>1.        Sector defined by NAICS 5172. Cellular licenses were first issued in Canada in 1985: Rogers Cantel and the service of the incumbent telcos, Stentor.  Smaller telcos such as Edmonton Tel and Quebec Tel are also included in the Stentor group (later Bell Mobility).  Stentor/Bell Mobility began service in 1985, while Rogers Cantel began the following year.  Two new entities were permitted to enter the market in 1996: Microcell/Fido and Clearnet. The incumbent telcos’ jointly operated the Bell Mobility service until Telus began competing with the group in 2000 and MTS Allstream did the same after 2005.  Throughout this period, Bell had a controlling ownership stake in the entities that came to form Alliant from 1999 to 2005, and Bell Alliant after 2006, ie. NBTel, Maritime Tel, NewTel and Island Tel.  Other than these companies and their predecessors, SaskTel was the other major member of this group. Primary sources used: Corporate Annual Reports; the CRTC’s Communication Monitoring Report and the Telecommunications Monitoring Report as well as the Status of Competition in Canadian Telecommunications Markets before it. 
2.        Entered service in 1985 as Rogers Cantel, at which time Rogers owned 47.5% of the company. It acquired the remaining shares in 1989.  Acquired Microcell/Fido at end of 2004.
3.        Began service in 1996, aquired by Rogers at end of 2004.
4.        Telus formed in 1990 as part of the privatization of AGT.  The amalgamation of AGT and BC Tel in 1999 lead to its current form.
5.        Began service in 1996, acquired by Telus in 1999/2000.
6.        Revenues of Bell Aliant after 2006, Aliant from 1999-2005 and the predecessors to that entity before 1999 (NBTel, Maritime Tel, NewTel and Island Tel) are included under BCE because it had a dominant ownership of these entities, usually 40-50%.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telecommunications operations in Ontario and Quebec, i,e. Société en commandite Télébec, and NorthernTel. BCE’s ownership stake in Bell Alliant was about 44% until 2014, when it acquired the remaining stake in the company that it did not already own. BCE and Bell Aliant’s Annual Reports have relatively clear reporting segments for wired, wireless, IPTV, TV and, in Bell’s case, Media.  The wireless revenue figure in this table combines Total External Revenues for BCE and Bell Aliant and subtracts Equipment and other, TV, Wireless and internet. For 2011, for instance, see Bell’s 2011 Annual Report (pp. 44-47). 
7.        Quebecor acquired Videotron in 2000 and began offering wireless services in 2008.
8.        From 2011 onwards efforts were made to break out the revenues for individual new entrants. This was ease for Quebecor, which published such figures. However, for others, including Wind, Mobilicity and Public this involved multiplying subscriber numbers -- after accounting for year-over-year growth by averaging subscriber levels for the two most recent years -- by ARPU. Additional source information is included in each cell.</t>
  </si>
  <si>
    <t>Maple Leafs Sports &amp; Entertainment</t>
  </si>
  <si>
    <t>TVA</t>
  </si>
  <si>
    <t>Bell DTH</t>
  </si>
  <si>
    <t>Total TV $</t>
  </si>
  <si>
    <t>(Remstar)</t>
  </si>
  <si>
    <t>Network Infrastructure / Platform Media Industries (Current Mill$)</t>
  </si>
  <si>
    <t>Total Network Media HHI (From Top 20 w Telecoms sheet)</t>
  </si>
  <si>
    <t>Osprey</t>
  </si>
  <si>
    <t xml:space="preserve">Postmedia </t>
  </si>
  <si>
    <t>Bragg/EastLink</t>
  </si>
  <si>
    <t>East-Link</t>
  </si>
  <si>
    <t>Cross Industry CR &amp; HHI Scores  (From Top 20 w/ Telecoms sheet)</t>
  </si>
  <si>
    <t>Total CableCos</t>
  </si>
  <si>
    <t>CR4 (Shaw/Corus separate)</t>
  </si>
  <si>
    <t>CR1</t>
  </si>
  <si>
    <t>Alliance Atlantis</t>
  </si>
  <si>
    <t>EastLink (Bragg)</t>
  </si>
  <si>
    <t>HHI(Shaw/Corus separate)</t>
  </si>
  <si>
    <t xml:space="preserve">Cable + DTH </t>
  </si>
  <si>
    <t>Cable + DTH $</t>
  </si>
  <si>
    <t>IPTV</t>
  </si>
  <si>
    <t>1.        The total value of the television sector includes private commercial tv revenue + CBC (all revenues). Sources: CRTC’s annual Communication Monitoring Report, Aggregate Annual Returns, Broadcasting Policy Monitoring Report and Individual Pay, Pay-per-view, Video-on-Demand and Specialty Services Financial Summaries  as well as corporate annual reports.  
2.        CTV acquired by BCE (68.5% voting interest) in December 2000.  BCE joined CTV with the Globe &amp; Mail and from 2000 to early-2007 operated them as Bell Globemedia.  CTVglobemedia acquired CHUM in 2007 but was required by the CRTC requirement to sell off the City TV stations (which were eventually sold to Rogers) while allowed to keep the A-Channel stations and 26 cable and satellite channels. After acquiring CHUM in 2006, BCE reduced its stake to 15% in CTV, while Woodbridge Holdings (the Thomson family) gained control (40%) in the renamed CTVglobemedia. 
3.        For Bell Globemedia, see Note 3 in Conventional TV (Canada) above + CRTC's Individual Pay, Pay-per-view, Video-on-Demand and Specialty Services Financial Summaries and BCE Annual Reports. 2000-2006. 
4.        For Baton, see Note 4 in Conventional TV (Canada) above. Based on 26% of company’s total revenues, as reported in Financial Post, Survey of Industrials, and figures confirmed by journalistic accounts.  
5.        See Note 5 in Conventional TV (Canada). 
6.        See Note 6 in Conventional TV (Canada). 
7.        See Note 7 in Conventional TV (Canada).
8.        See Note 8 in Conventional TV (Canada).
9.        See Note 9 in Conventional TV (Canada) + CRTC's Individual Pay, Pay-per-view, Video-on-Demand and Specialty Services Financial Summaries for Shaw since 2010 and Corus’ Annual Reports for 2002 (p. 22), 2006 (p. 24), 2008 (p. 23), 2010 (p. 14) and 2012 (p. 19).
10.        For Canwest Corus, see Note 10 in Conventional TV (Canada) above + CRTC's Individual Pay, Pay-per-view, Video-on-Demand and Specialty Services Financial Summaries.
11.        Company incorporated as Alliance Entertainment in 1984, renamed Alliance Atlantis after merger with Atlantis, and acquired in 2007 by Canwest/Goldman Sachs.
12.        For Western International Communications, see Note 12 in Conventional TV (Canada) above.
13.        For CBC, see Note 2, Conventional TV (Canada) + CRTC's Individual Pay, Pay-per-view, Video-on-Demand and Specialty Services Financial Summaries and Annual Reports. See Note 2 in Conventional TV (Canada) above, as well. 
14.        For Rogers, Note 12 in Conventional TV (Canada) above + CRTC's Individual Pay, Pay-per-view, Video-on-Demand and Specialty Services Financial Summaries and Aggregate Annual Returns. Roger’s media segment contains too many items to be reliably used as a source for revenues of specific television and radio segments. 
15.        See Note 13 in Conventional TV (Canada) above + CRTC's Individual Pay, Pay-per-view, Video-on-Demand and Specialty Services Financial Summaries.
16.        See Note 14 in Conventional TV (Canada) above.
17.        For Astral, see Note 9 in Pay and Specialty TV (Canada). Astral's total tv revenues are based on figures reported in Annual Report 2011 (p. 21) as well as PWC, Astral Valuation Abridged (2012, p. 52), i.e. 2011 = $557.9m. This figure is based on Astral's Pay and Specialty TV segment's (total revenues = $582.2m for 2011) but excludes Astral's in-house advertising and online divisions (see PWC, Astral Valuation Abridged, p. 45). 
18.        For Quebecor, see Note 15 in Conventional TV (Canada) + CRTC's Individual Pay, Pay-per-view, Video-on-Demand and Specialty Services Financial Summaries. 
19.        See Note 16 in Conventional TV (Canada).
20.        See Note 17 in Conventional TV (Canada).
21.        See Note 18 in Conventional TV (Canada).
22.        See Note 19 in Conventional TV (Canada).
23.        See Note 20 in Conventional TV (Canada).
24.        See Note 21 in Conventional TV (Canada).
25.        50/50 owned by CHUM and Radio-Mutuel, with Astral Media holding a 25% stake in the latter.  Revenues have been distributed accordingly, with the residual 37.5 attributed to Radio-Mutuel.</t>
  </si>
  <si>
    <t>Total PM$</t>
  </si>
  <si>
    <t>IPTV $</t>
  </si>
  <si>
    <t>Standard</t>
  </si>
  <si>
    <t>CR10</t>
  </si>
  <si>
    <t xml:space="preserve">Total Cable, DTH + IPTV </t>
  </si>
  <si>
    <t>Platform Media/Total Media $</t>
  </si>
  <si>
    <t>EastLink Bragg</t>
  </si>
  <si>
    <t>Content Media Industries (Current Mill$)</t>
  </si>
  <si>
    <t>Power Corp.</t>
  </si>
  <si>
    <t>Wired Line</t>
  </si>
  <si>
    <t>Irving</t>
  </si>
  <si>
    <t>Cross Industry CR &amp; HHI Scores  (From Top 20 No Telecoms sheet)</t>
  </si>
  <si>
    <t>Bragg</t>
  </si>
  <si>
    <t>Netflix</t>
  </si>
  <si>
    <t>Eastlink (Bragg)</t>
  </si>
  <si>
    <t xml:space="preserve">Total </t>
  </si>
  <si>
    <t>Total Network Media Economy</t>
  </si>
  <si>
    <t>Sasktel</t>
  </si>
  <si>
    <t>IPTV % Wiredline + ISP</t>
  </si>
  <si>
    <t>Vertically-Integrated Cos Mrkt Share</t>
  </si>
  <si>
    <t>Total Network Access $ (Wiredline + ISP + Cable)</t>
  </si>
  <si>
    <t>TransCon</t>
  </si>
  <si>
    <t>IPTV % Total Connectivity Charges</t>
  </si>
  <si>
    <t>Armadale</t>
  </si>
  <si>
    <t>Netstar</t>
  </si>
  <si>
    <t>IPTV % Cable/ DTH/IPTV</t>
  </si>
  <si>
    <t>FP</t>
  </si>
  <si>
    <t>Network Infrastructure / Platform Media Industries (Real Mill$, 2014)</t>
  </si>
  <si>
    <t>Search</t>
  </si>
  <si>
    <t>IPTV Revenues Adjusted to Reflect Y-O-Y Growth October 2015</t>
  </si>
  <si>
    <t>Maritime T&amp;T</t>
  </si>
  <si>
    <t xml:space="preserve"> </t>
  </si>
  <si>
    <t>HN</t>
  </si>
  <si>
    <t>CUC</t>
  </si>
  <si>
    <t>Videotron/TVA</t>
  </si>
  <si>
    <t>Content Media Industries (Real Mill$, 2014)</t>
  </si>
  <si>
    <t>Horizon</t>
  </si>
  <si>
    <t>Sources &amp; Notes</t>
  </si>
  <si>
    <t>* = estimate. Typically based on avg of year before and year after revenues.</t>
  </si>
  <si>
    <t>SCG</t>
  </si>
  <si>
    <t>Table 2: The Growth of IPTV Subscribers in Canada, 2004–2014</t>
  </si>
  <si>
    <t xml:space="preserve">(1) Bell's revenues are based on company's Investor Conference 2012 Q4 (Feb. 7, 2013) (http://bce.ca/assets/investors/Q4-2012/2013BCEInvestorConference_FinalConsolidated.pdf, p. 40) for number of subscribers and $60/mo for 2012. I use the CRTC's annual ARPU estimates for BDUs of $59.41/month reported in the 2011 Communications Monitoring Report (p. 96) The CRTC reports a much lower ARPU for IPTV services of just under $41, but this seems implausible because (a) Bell's own reported ARPU is much higher as is SaskTel's Annual Reports identify a monthly ARPU for their IPTV services of $62.38 and (b) the size of the gap between cable and satellite BDU's on the one hand and IPTV services on the other, seems unrealistic, given that both services are competing in essentially the same market.  Bell and Bell Aliant collectively own several small cable systems, with CRTC Aggregate Annual Returns for 2013 indicating a total subscribers and revenues for these systems as 31,655 and $24.2 million. </t>
  </si>
  <si>
    <t>(2) Bell Aliant's subscriber numbers are from its Annual Report (2012, p. 2) as well as its Supplemental Financial Information 4th Quarter 2012 (http://bellaliant.ca/english/ir/pdf/2012_Q4_supplemental.pdf)(pp. 8-9) .</t>
  </si>
  <si>
    <t xml:space="preserve">(3) Telus' subscriber numbers are from its 2011 Annual Report (p. 10), 2010 Annual Report (p. 5), Supplemental Investor Information, 3rd Quarter 2011 (Unaudited) (http://about.telus.com/servlet/JiveServlet/previewBody/2522-102-1-2514/Q3%2011%20Supplemental.pdf, p. 12). Revenue figures for 2011 arrived at by multiplying the number of subscribers by the CRTC's annual ARPU estimates of BDUs of $59.41/month in the 2011 Communications Monitoring Report (p. 96). The fact that Telus identifies 509,000 subscribers for its IPTV service while the CRTC's Communications Monitoring Report (p. 96) claims that there are only 657,300 subscribers in total, suggests that the latter figures vastly under-estimate the number of IPTV subscribers. To put this another way, it would appear that for the CRTC's estimated number of subscribers to be correct, Bell Aliant (77,000 subs) + Telus (509,000 subs) would have to account for just over 89 percent of all subscribers. </t>
  </si>
  <si>
    <t>Bell Fibe TV</t>
  </si>
  <si>
    <t>(4) MTS Allstream"s subscriber and ARPU figures from its 2011 Annual Report (pp. 3, 16) and multiplied by an ARPU of $62.38. Its 2008 Annual Report lists subscriber numbers back to 2004 (p. 62)</t>
  </si>
  <si>
    <t>(5) Sasktel's subscriber figures from its 2011 Annual Report (pp. 15, 29, 37). Previous years from 2010 Annual Report (p. 45) and 2006 Annual Report (p. 49). Subscriber numbers are multiplied by MTS ARPU to arrive at total revenues because SaskTel does not present revenue figures for its IPTV service on a stand-alone basis and because MTS is most comparable to SaskTel vs CRTC's average ARPU.</t>
  </si>
  <si>
    <t>Bell Aliant</t>
  </si>
  <si>
    <t xml:space="preserve">Telus </t>
  </si>
  <si>
    <t>Social Networking Sites</t>
  </si>
  <si>
    <t>Network Infrastructure</t>
  </si>
  <si>
    <t>Table 3 The Growth of IPTV Revenues in Canada, 2004–2014</t>
  </si>
  <si>
    <t>Sprint</t>
  </si>
  <si>
    <t xml:space="preserve">Bell Fibe TV </t>
  </si>
  <si>
    <t xml:space="preserve">Bell Aliant </t>
  </si>
  <si>
    <t xml:space="preserve">MTS Allstream </t>
  </si>
  <si>
    <t xml:space="preserve">SaskTel </t>
  </si>
  <si>
    <t>Table 5: Television Moves into the Centre of the Network Media Economy Universe, 1984 – 2014 (millions current $).</t>
  </si>
  <si>
    <t>Total NME$</t>
  </si>
  <si>
    <t xml:space="preserve">BDU+TV/NME </t>
  </si>
  <si>
    <t>Wirelline</t>
  </si>
  <si>
    <t>NB Tel</t>
  </si>
  <si>
    <t>Total NMI $</t>
  </si>
  <si>
    <t xml:space="preserve"> CHUM &amp; QBC (15)</t>
  </si>
  <si>
    <t>Content Media Industries</t>
  </si>
  <si>
    <t>DTH</t>
  </si>
  <si>
    <t xml:space="preserve"> (Remstar)</t>
  </si>
  <si>
    <t>Fido</t>
  </si>
  <si>
    <t>Nfld Tel</t>
  </si>
  <si>
    <t>2011 Bell + Astral</t>
  </si>
  <si>
    <t>C4</t>
  </si>
  <si>
    <t>360 Networks</t>
  </si>
  <si>
    <t>Vertically-Integrated</t>
  </si>
  <si>
    <t>Irving Brunswick News</t>
  </si>
  <si>
    <t>JPI</t>
  </si>
  <si>
    <t>C10</t>
  </si>
  <si>
    <t>Top 4 Vertically Integrated Cos Share All $</t>
    <phoneticPr fontId="9" type="noConversion"/>
  </si>
  <si>
    <t>HHI</t>
    <phoneticPr fontId="9" type="noConversion"/>
  </si>
  <si>
    <t>CR4</t>
    <phoneticPr fontId="9" type="noConversion"/>
  </si>
  <si>
    <t>Total (millions)</t>
    <phoneticPr fontId="9" type="noConversion"/>
  </si>
  <si>
    <t>Sinclair</t>
    <phoneticPr fontId="9" type="noConversion"/>
  </si>
  <si>
    <t>Scripps Networks Interactive</t>
    <phoneticPr fontId="9" type="noConversion"/>
  </si>
  <si>
    <t>Netflix</t>
    <phoneticPr fontId="9" type="noConversion"/>
  </si>
  <si>
    <t>Discovery Communications</t>
    <phoneticPr fontId="9" type="noConversion"/>
  </si>
  <si>
    <t>Liberty (Starz + Sirius XM)</t>
    <phoneticPr fontId="9" type="noConversion"/>
  </si>
  <si>
    <t>Bright House</t>
    <phoneticPr fontId="9" type="noConversion"/>
  </si>
  <si>
    <t>CBS</t>
    <phoneticPr fontId="9" type="noConversion"/>
  </si>
  <si>
    <t>Century Link</t>
    <phoneticPr fontId="9" type="noConversion"/>
  </si>
  <si>
    <t>Cablevision AMC Networks</t>
    <phoneticPr fontId="9" type="noConversion"/>
  </si>
  <si>
    <t>Charter</t>
    <phoneticPr fontId="9" type="noConversion"/>
  </si>
  <si>
    <t>Cox</t>
    <phoneticPr fontId="9" type="noConversion"/>
  </si>
  <si>
    <t>Viacom</t>
    <phoneticPr fontId="9" type="noConversion"/>
  </si>
  <si>
    <t>Time Warner</t>
    <phoneticPr fontId="9" type="noConversion"/>
  </si>
  <si>
    <t>Verizon</t>
  </si>
  <si>
    <t>News Corp</t>
    <phoneticPr fontId="9" type="noConversion"/>
  </si>
  <si>
    <t>DISH</t>
  </si>
  <si>
    <t>Time Warner Cable</t>
  </si>
  <si>
    <t>Disney</t>
    <phoneticPr fontId="9" type="noConversion"/>
  </si>
  <si>
    <t>DirectTV</t>
    <phoneticPr fontId="9" type="noConversion"/>
  </si>
  <si>
    <t>Comcast</t>
    <phoneticPr fontId="9" type="noConversion"/>
  </si>
  <si>
    <t>Share of Total Telecom-Internet-Media Market</t>
    <phoneticPr fontId="9" type="noConversion"/>
  </si>
  <si>
    <t>Total (Millions $)</t>
    <phoneticPr fontId="9" type="noConversion"/>
  </si>
  <si>
    <t>Radio</t>
    <phoneticPr fontId="9" type="noConversion"/>
  </si>
  <si>
    <t>Film</t>
    <phoneticPr fontId="9" type="noConversion"/>
  </si>
  <si>
    <t>Online Video</t>
    <phoneticPr fontId="9" type="noConversion"/>
  </si>
  <si>
    <t>Broadcast TV</t>
    <phoneticPr fontId="9" type="noConversion"/>
  </si>
  <si>
    <t>Pay TV</t>
    <phoneticPr fontId="9" type="noConversion"/>
  </si>
  <si>
    <t>MVPD</t>
    <phoneticPr fontId="9" type="noConversion"/>
  </si>
  <si>
    <t>Internet Access</t>
    <phoneticPr fontId="9" type="noConversion"/>
  </si>
  <si>
    <t>Top Telecom-Internet and Media Giants in US, 2013 (Millions $)</t>
    <phoneticPr fontId="9" type="noConversion"/>
  </si>
  <si>
    <t>VI Cos share of Broadband Universe</t>
    <phoneticPr fontId="9" type="noConversion"/>
  </si>
  <si>
    <t>Sector $</t>
    <phoneticPr fontId="9" type="noConversion"/>
  </si>
  <si>
    <t>Firm Total $</t>
    <phoneticPr fontId="9" type="noConversion"/>
  </si>
  <si>
    <t>Comcast</t>
  </si>
  <si>
    <t>Total</t>
    <phoneticPr fontId="9" type="noConversion"/>
  </si>
  <si>
    <t>IGNORE BELOW</t>
    <phoneticPr fontId="9" type="noConversion"/>
  </si>
  <si>
    <t xml:space="preserve">Denotes vertically integrated companies, defined as companies that own both transmission/delivery facilities (Wiredline, Wireless, Internet Access, MVPD) with pay TV, broadcast TV, Film or other kinds of audiovisual content. Assumes AT&amp;T's acquisition of DirecTV in 2015 to give sense of current conditions. </t>
    <phoneticPr fontId="9" type="noConversion"/>
  </si>
  <si>
    <t>Canada Top 4 VI Cos</t>
    <phoneticPr fontId="9" type="noConversion"/>
  </si>
  <si>
    <t>Canada HHI</t>
    <phoneticPr fontId="9" type="noConversion"/>
  </si>
  <si>
    <t>Canada  CR4</t>
    <phoneticPr fontId="9" type="noConversion"/>
  </si>
  <si>
    <t>Total (Millions)</t>
    <phoneticPr fontId="9" type="noConversion"/>
  </si>
  <si>
    <t>Facebook</t>
    <phoneticPr fontId="9" type="noConversion"/>
  </si>
  <si>
    <t>Google</t>
    <phoneticPr fontId="9" type="noConversion"/>
  </si>
  <si>
    <t>T-Mobile</t>
    <phoneticPr fontId="9" type="noConversion"/>
  </si>
  <si>
    <t>AT&amp;T</t>
    <phoneticPr fontId="9" type="noConversion"/>
  </si>
  <si>
    <t>Sprint</t>
    <phoneticPr fontId="9" type="noConversion"/>
  </si>
  <si>
    <t>Online Advertising</t>
    <phoneticPr fontId="9" type="noConversion"/>
  </si>
  <si>
    <t>Wireless</t>
    <phoneticPr fontId="9" type="noConversion"/>
  </si>
  <si>
    <t>Wiredline</t>
    <phoneticPr fontId="9" type="noConversion"/>
  </si>
  <si>
    <t>The data sets and other content of this project 
can be used under Creative Commons licensing 
arrangement by non-commercial use with proper 
attribution, explicit written permission required for
any commercial use.
Creative Commons License This work is licensed under a Creative Commons 
Attribution-NonCommercial-ShareAlike 
4.0 International License.</t>
  </si>
  <si>
    <t>The data sets and other content of this project 
can be used under Creative Commons licensing 
arrangement by non-commercial use with proper 
attribution, explicit written permission required for
any commercial use.
Creative Commons License This work is licensed under 
a Creative Commons Attribution-NonCommercial-ShareAlike 
4.0 International License.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</si>
</sst>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0"/>
    <numFmt numFmtId="166" formatCode="0.000"/>
    <numFmt numFmtId="167" formatCode="#,##0.0"/>
    <numFmt numFmtId="168" formatCode="0.0%"/>
    <numFmt numFmtId="169" formatCode="&quot; &quot;* #,##0&quot; &quot;;&quot; &quot;* \(#,##0\);&quot; &quot;* &quot;-&quot;??&quot; &quot;"/>
    <numFmt numFmtId="170" formatCode="&quot; &quot;* #,##0.0&quot; &quot;;&quot; &quot;* \(#,##0.0\);&quot; &quot;* &quot;-&quot;??&quot; &quot;"/>
    <numFmt numFmtId="171" formatCode="#,##0.000"/>
  </numFmts>
  <fonts count="74" x14ac:knownFonts="1">
    <font>
      <sz val="10"/>
      <color rgb="FF000000"/>
      <name val="Verdana"/>
    </font>
    <font>
      <sz val="14"/>
      <color rgb="FF000000"/>
      <name val="Cambria"/>
    </font>
    <font>
      <b/>
      <sz val="14"/>
      <color rgb="FF000000"/>
      <name val="Cambria"/>
    </font>
    <font>
      <b/>
      <sz val="12"/>
      <color rgb="FF000000"/>
      <name val="Cambria"/>
    </font>
    <font>
      <sz val="12"/>
      <color rgb="FF000000"/>
      <name val="Cambria"/>
    </font>
    <font>
      <sz val="12"/>
      <name val="Cambria"/>
    </font>
    <font>
      <b/>
      <sz val="14"/>
      <name val="Cambria"/>
    </font>
    <font>
      <sz val="10"/>
      <name val="Verdana"/>
    </font>
    <font>
      <b/>
      <sz val="12"/>
      <name val="Cambria"/>
    </font>
    <font>
      <sz val="12"/>
      <color rgb="FF333333"/>
      <name val="Cambria"/>
    </font>
    <font>
      <i/>
      <sz val="12"/>
      <name val="Cambria"/>
    </font>
    <font>
      <b/>
      <i/>
      <sz val="12"/>
      <name val="Cambria"/>
    </font>
    <font>
      <b/>
      <i/>
      <sz val="12"/>
      <color rgb="FF000000"/>
      <name val="Cambria"/>
    </font>
    <font>
      <b/>
      <sz val="12"/>
      <color rgb="FFDD0806"/>
      <name val="Cambria"/>
    </font>
    <font>
      <sz val="14"/>
      <name val="Cambria"/>
    </font>
    <font>
      <b/>
      <sz val="11"/>
      <color rgb="FF000000"/>
      <name val="Arial"/>
    </font>
    <font>
      <sz val="10"/>
      <name val="Verdana"/>
    </font>
    <font>
      <sz val="12"/>
      <color rgb="FF0000D4"/>
      <name val="Cambria"/>
    </font>
    <font>
      <i/>
      <sz val="12"/>
      <color rgb="FF000000"/>
      <name val="Cambria"/>
    </font>
    <font>
      <i/>
      <sz val="12"/>
      <color rgb="FF0000D4"/>
      <name val="Cambria"/>
    </font>
    <font>
      <sz val="12"/>
      <name val="Verdana"/>
    </font>
    <font>
      <b/>
      <sz val="12"/>
      <color rgb="FF000000"/>
      <name val="Verdana"/>
    </font>
    <font>
      <b/>
      <sz val="14"/>
      <name val="Arial"/>
    </font>
    <font>
      <b/>
      <sz val="12"/>
      <name val="Arial"/>
    </font>
    <font>
      <sz val="12"/>
      <name val="Arial"/>
    </font>
    <font>
      <i/>
      <sz val="12"/>
      <name val="Arial"/>
    </font>
    <font>
      <sz val="12"/>
      <color rgb="FF000000"/>
      <name val="Verdana"/>
    </font>
    <font>
      <sz val="12"/>
      <name val="Verdana"/>
    </font>
    <font>
      <sz val="11"/>
      <color rgb="FF000000"/>
      <name val="Arial"/>
    </font>
    <font>
      <sz val="12"/>
      <color rgb="FF000000"/>
      <name val="Arial"/>
    </font>
    <font>
      <sz val="10"/>
      <name val="Cambria"/>
    </font>
    <font>
      <sz val="12"/>
      <color rgb="FFFF6600"/>
      <name val="Cambria"/>
    </font>
    <font>
      <sz val="14"/>
      <name val="Calibri"/>
    </font>
    <font>
      <sz val="11"/>
      <color rgb="FF1155CC"/>
      <name val="Verdana"/>
    </font>
    <font>
      <sz val="12"/>
      <color rgb="FFDD0806"/>
      <name val="Cambria"/>
    </font>
    <font>
      <sz val="10"/>
      <name val="Arial"/>
    </font>
    <font>
      <b/>
      <sz val="12"/>
      <name val="Verdana"/>
    </font>
    <font>
      <b/>
      <sz val="12"/>
      <color rgb="FF000000"/>
      <name val="Arial"/>
    </font>
    <font>
      <b/>
      <sz val="10"/>
      <color rgb="FF000000"/>
      <name val="Verdana"/>
    </font>
    <font>
      <sz val="10"/>
      <color rgb="FF333333"/>
      <name val="Verdana"/>
    </font>
    <font>
      <i/>
      <sz val="12"/>
      <name val="Verdana"/>
    </font>
    <font>
      <sz val="11"/>
      <name val="Arial"/>
    </font>
    <font>
      <sz val="12"/>
      <name val="Calibri"/>
    </font>
    <font>
      <b/>
      <sz val="10"/>
      <name val="Verdana"/>
    </font>
    <font>
      <i/>
      <sz val="12"/>
      <name val="Calibri"/>
    </font>
    <font>
      <b/>
      <sz val="12"/>
      <name val="Times New Roman"/>
    </font>
    <font>
      <sz val="14"/>
      <name val="Arial"/>
    </font>
    <font>
      <sz val="10"/>
      <color rgb="FFDD0806"/>
      <name val="Cambria"/>
    </font>
    <font>
      <sz val="10"/>
      <name val="Verdana"/>
    </font>
    <font>
      <b/>
      <sz val="12"/>
      <color rgb="FFFF6600"/>
      <name val="Arial"/>
    </font>
    <font>
      <sz val="11"/>
      <name val="Cambria"/>
    </font>
    <font>
      <b/>
      <sz val="12"/>
      <color rgb="FFDD0806"/>
      <name val="Arial"/>
    </font>
    <font>
      <sz val="12"/>
      <color rgb="FF3366FF"/>
      <name val="Arial"/>
    </font>
    <font>
      <sz val="12"/>
      <color rgb="FF3366FF"/>
      <name val="Cambria"/>
    </font>
    <font>
      <sz val="11"/>
      <name val="Verdana"/>
    </font>
    <font>
      <sz val="11"/>
      <color rgb="FF000000"/>
      <name val="Verdana"/>
    </font>
    <font>
      <i/>
      <sz val="10"/>
      <name val="Cambria"/>
    </font>
    <font>
      <sz val="12"/>
      <color rgb="FFFF0000"/>
      <name val="Cambria"/>
    </font>
    <font>
      <b/>
      <sz val="11"/>
      <name val="Arial"/>
    </font>
    <font>
      <b/>
      <i/>
      <sz val="11"/>
      <color rgb="FF000000"/>
      <name val="Arial"/>
    </font>
    <font>
      <i/>
      <sz val="11"/>
      <color rgb="FF000000"/>
      <name val="Arial"/>
    </font>
    <font>
      <sz val="11"/>
      <color rgb="FFDD0806"/>
      <name val="Arial"/>
    </font>
    <font>
      <b/>
      <sz val="12"/>
      <color rgb="FF434343"/>
      <name val="Arial"/>
    </font>
    <font>
      <b/>
      <i/>
      <sz val="12"/>
      <name val="Arial"/>
    </font>
    <font>
      <sz val="12"/>
      <color rgb="FF434343"/>
      <name val="Arial"/>
    </font>
    <font>
      <sz val="14"/>
      <color rgb="FF000000"/>
      <name val="Arial"/>
    </font>
    <font>
      <sz val="6"/>
      <name val="Verdana"/>
    </font>
    <font>
      <b/>
      <i/>
      <sz val="10"/>
      <name val="Verdana"/>
    </font>
    <font>
      <b/>
      <sz val="11"/>
      <name val="Verdana"/>
    </font>
    <font>
      <i/>
      <sz val="10"/>
      <name val="Verdana"/>
    </font>
    <font>
      <b/>
      <sz val="9"/>
      <color indexed="81"/>
      <name val="Verdana"/>
    </font>
    <font>
      <sz val="9"/>
      <color indexed="81"/>
      <name val="Verdana"/>
    </font>
    <font>
      <sz val="10"/>
      <name val="Verdana"/>
      <family val="2"/>
    </font>
    <font>
      <sz val="12"/>
      <name val="Cambria"/>
      <family val="1"/>
    </font>
  </fonts>
  <fills count="13">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9900"/>
        <bgColor rgb="FFFF9900"/>
      </patternFill>
    </fill>
    <fill>
      <patternFill patternType="solid">
        <fgColor rgb="FF99CC00"/>
        <bgColor rgb="FF99CC00"/>
      </patternFill>
    </fill>
    <fill>
      <patternFill patternType="solid">
        <fgColor rgb="FF00CCFF"/>
        <bgColor rgb="FF00CCFF"/>
      </patternFill>
    </fill>
    <fill>
      <patternFill patternType="solid">
        <fgColor rgb="FFFFFF00"/>
        <bgColor rgb="FFFFFF00"/>
      </patternFill>
    </fill>
    <fill>
      <patternFill patternType="solid">
        <fgColor rgb="FFF3F3F3"/>
        <bgColor rgb="FFF3F3F3"/>
      </patternFill>
    </fill>
    <fill>
      <patternFill patternType="solid">
        <fgColor rgb="FFFF0000"/>
        <bgColor rgb="FFFF0000"/>
      </patternFill>
    </fill>
    <fill>
      <patternFill patternType="solid">
        <fgColor indexed="13"/>
        <bgColor indexed="64"/>
      </patternFill>
    </fill>
    <fill>
      <patternFill patternType="solid">
        <fgColor indexed="53"/>
        <bgColor indexed="64"/>
      </patternFill>
    </fill>
    <fill>
      <patternFill patternType="solid">
        <fgColor indexed="52"/>
        <bgColor indexed="64"/>
      </patternFill>
    </fill>
  </fills>
  <borders count="19">
    <border>
      <left/>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top style="thin">
        <color rgb="FF000000"/>
      </top>
      <bottom style="thin">
        <color rgb="FF000000"/>
      </bottom>
      <diagonal/>
    </border>
    <border>
      <left/>
      <right/>
      <top style="medium">
        <color rgb="FF000000"/>
      </top>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right/>
      <top style="medium">
        <color rgb="FF000000"/>
      </top>
      <bottom style="thin">
        <color rgb="FF000000"/>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7" fillId="0" borderId="0"/>
  </cellStyleXfs>
  <cellXfs count="716">
    <xf numFmtId="0" fontId="0" fillId="0" borderId="0" xfId="0" applyFont="1" applyAlignment="1"/>
    <xf numFmtId="164" fontId="1" fillId="0" borderId="0" xfId="0" applyNumberFormat="1" applyFont="1"/>
    <xf numFmtId="164" fontId="2" fillId="0" borderId="0" xfId="0" applyNumberFormat="1" applyFont="1"/>
    <xf numFmtId="0" fontId="3" fillId="0" borderId="0" xfId="0" applyFont="1"/>
    <xf numFmtId="0" fontId="3" fillId="0" borderId="0" xfId="0" applyFont="1" applyAlignment="1">
      <alignment horizontal="right"/>
    </xf>
    <xf numFmtId="164" fontId="4" fillId="0" borderId="0" xfId="0" applyNumberFormat="1" applyFont="1" applyAlignment="1">
      <alignment vertical="top" wrapText="1"/>
    </xf>
    <xf numFmtId="164" fontId="5" fillId="0" borderId="0" xfId="0" applyNumberFormat="1" applyFont="1" applyAlignment="1">
      <alignment horizontal="right" wrapText="1"/>
    </xf>
    <xf numFmtId="164" fontId="6" fillId="0" borderId="0" xfId="0" applyNumberFormat="1" applyFont="1"/>
    <xf numFmtId="164" fontId="7" fillId="0" borderId="0" xfId="0" applyNumberFormat="1" applyFont="1" applyAlignment="1">
      <alignment wrapText="1"/>
    </xf>
    <xf numFmtId="164" fontId="4" fillId="0" borderId="0" xfId="0" applyNumberFormat="1" applyFont="1"/>
    <xf numFmtId="0" fontId="8" fillId="0" borderId="0" xfId="0" applyFont="1"/>
    <xf numFmtId="164" fontId="4" fillId="0" borderId="0" xfId="0" applyNumberFormat="1" applyFont="1" applyAlignment="1">
      <alignment horizontal="right"/>
    </xf>
    <xf numFmtId="0" fontId="8" fillId="0" borderId="0" xfId="0" applyFont="1" applyAlignment="1">
      <alignment horizontal="right"/>
    </xf>
    <xf numFmtId="164" fontId="5" fillId="2" borderId="0" xfId="0" applyNumberFormat="1" applyFont="1" applyFill="1" applyBorder="1" applyAlignment="1">
      <alignment vertical="top" wrapText="1"/>
    </xf>
    <xf numFmtId="164" fontId="5" fillId="2" borderId="0" xfId="0" applyNumberFormat="1" applyFont="1" applyFill="1" applyBorder="1" applyAlignment="1">
      <alignment wrapText="1"/>
    </xf>
    <xf numFmtId="164" fontId="5" fillId="2" borderId="0" xfId="0" applyNumberFormat="1" applyFont="1" applyFill="1" applyBorder="1" applyAlignment="1">
      <alignment wrapText="1"/>
    </xf>
    <xf numFmtId="164" fontId="4" fillId="2" borderId="0" xfId="0" applyNumberFormat="1" applyFont="1" applyFill="1" applyBorder="1" applyAlignment="1">
      <alignment horizontal="right"/>
    </xf>
    <xf numFmtId="164" fontId="5" fillId="0" borderId="0" xfId="0" applyNumberFormat="1" applyFont="1" applyBorder="1" applyAlignment="1">
      <alignment horizontal="right" wrapText="1"/>
    </xf>
    <xf numFmtId="164" fontId="5" fillId="2" borderId="0" xfId="0" applyNumberFormat="1" applyFont="1" applyFill="1" applyBorder="1"/>
    <xf numFmtId="164" fontId="5" fillId="2" borderId="0" xfId="0" applyNumberFormat="1" applyFont="1" applyFill="1" applyBorder="1" applyAlignment="1">
      <alignment horizontal="right"/>
    </xf>
    <xf numFmtId="164" fontId="5" fillId="2" borderId="0" xfId="0" applyNumberFormat="1" applyFont="1" applyFill="1" applyBorder="1" applyAlignment="1">
      <alignment horizontal="right" wrapText="1"/>
    </xf>
    <xf numFmtId="164" fontId="5" fillId="0" borderId="0" xfId="0" applyNumberFormat="1" applyFont="1" applyAlignment="1">
      <alignment vertical="top" wrapText="1"/>
    </xf>
    <xf numFmtId="164" fontId="5" fillId="0" borderId="0" xfId="0" applyNumberFormat="1" applyFont="1" applyAlignment="1">
      <alignment horizontal="right" vertical="center" wrapText="1"/>
    </xf>
    <xf numFmtId="164" fontId="5" fillId="0" borderId="0" xfId="0" applyNumberFormat="1" applyFont="1" applyAlignment="1">
      <alignment wrapText="1"/>
    </xf>
    <xf numFmtId="164" fontId="5" fillId="0" borderId="0" xfId="0" applyNumberFormat="1" applyFont="1" applyAlignment="1">
      <alignment horizontal="right"/>
    </xf>
    <xf numFmtId="164" fontId="5" fillId="0" borderId="0" xfId="0" applyNumberFormat="1" applyFont="1"/>
    <xf numFmtId="164" fontId="5" fillId="0" borderId="0" xfId="0" applyNumberFormat="1" applyFont="1" applyAlignment="1">
      <alignment wrapText="1"/>
    </xf>
    <xf numFmtId="164" fontId="5" fillId="0" borderId="0" xfId="0" applyNumberFormat="1" applyFont="1" applyAlignment="1">
      <alignment horizontal="right" wrapText="1"/>
    </xf>
    <xf numFmtId="165" fontId="5" fillId="0" borderId="0" xfId="0" applyNumberFormat="1" applyFont="1"/>
    <xf numFmtId="164" fontId="4" fillId="0" borderId="0" xfId="0" applyNumberFormat="1" applyFont="1" applyAlignment="1">
      <alignment horizontal="right" wrapText="1"/>
    </xf>
    <xf numFmtId="164" fontId="4" fillId="0" borderId="0" xfId="0" applyNumberFormat="1" applyFont="1" applyAlignment="1">
      <alignment horizontal="right" vertical="center" wrapText="1"/>
    </xf>
    <xf numFmtId="164" fontId="4" fillId="0" borderId="0" xfId="0" applyNumberFormat="1" applyFont="1" applyAlignment="1">
      <alignment horizontal="right" vertical="center"/>
    </xf>
    <xf numFmtId="164" fontId="4" fillId="0" borderId="0" xfId="0" applyNumberFormat="1" applyFont="1" applyAlignment="1">
      <alignment horizontal="right" wrapText="1"/>
    </xf>
    <xf numFmtId="164" fontId="9" fillId="0" borderId="0" xfId="0" applyNumberFormat="1" applyFont="1" applyAlignment="1">
      <alignment wrapText="1"/>
    </xf>
    <xf numFmtId="164" fontId="10" fillId="0" borderId="0" xfId="0" applyNumberFormat="1" applyFont="1" applyAlignment="1">
      <alignment vertical="top" wrapText="1"/>
    </xf>
    <xf numFmtId="164" fontId="10" fillId="0" borderId="0" xfId="0" applyNumberFormat="1" applyFont="1" applyAlignment="1">
      <alignment horizontal="right" wrapText="1"/>
    </xf>
    <xf numFmtId="164" fontId="11" fillId="0" borderId="0" xfId="0" applyNumberFormat="1" applyFont="1" applyAlignment="1">
      <alignment horizontal="right" wrapText="1"/>
    </xf>
    <xf numFmtId="164" fontId="12" fillId="0" borderId="0" xfId="0" applyNumberFormat="1" applyFont="1" applyAlignment="1">
      <alignment horizontal="right" wrapText="1"/>
    </xf>
    <xf numFmtId="164" fontId="4" fillId="0" borderId="0" xfId="0" applyNumberFormat="1" applyFont="1" applyAlignment="1">
      <alignment wrapText="1"/>
    </xf>
    <xf numFmtId="164" fontId="10" fillId="0" borderId="0" xfId="0" applyNumberFormat="1" applyFont="1" applyBorder="1" applyAlignment="1">
      <alignment horizontal="right" wrapText="1"/>
    </xf>
    <xf numFmtId="164" fontId="5" fillId="0" borderId="0" xfId="0" applyNumberFormat="1" applyFont="1" applyAlignment="1">
      <alignment horizontal="right" vertical="center"/>
    </xf>
    <xf numFmtId="164" fontId="3" fillId="0" borderId="0" xfId="0" applyNumberFormat="1" applyFont="1"/>
    <xf numFmtId="164" fontId="3" fillId="0" borderId="0" xfId="0" applyNumberFormat="1" applyFont="1" applyAlignment="1">
      <alignment horizontal="right"/>
    </xf>
    <xf numFmtId="164" fontId="3" fillId="0" borderId="0" xfId="0" applyNumberFormat="1" applyFont="1" applyAlignment="1">
      <alignment horizontal="right" vertical="center"/>
    </xf>
    <xf numFmtId="164" fontId="8"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Alignment="1"/>
    <xf numFmtId="164" fontId="4" fillId="0" borderId="0" xfId="0" applyNumberFormat="1" applyFont="1" applyBorder="1" applyAlignment="1">
      <alignment horizontal="right"/>
    </xf>
    <xf numFmtId="164" fontId="4" fillId="0" borderId="0" xfId="0" applyNumberFormat="1" applyFont="1" applyBorder="1"/>
    <xf numFmtId="164" fontId="11" fillId="0" borderId="0" xfId="0" applyNumberFormat="1" applyFont="1"/>
    <xf numFmtId="164" fontId="10" fillId="0" borderId="0" xfId="0" applyNumberFormat="1" applyFont="1" applyBorder="1"/>
    <xf numFmtId="164" fontId="10" fillId="0" borderId="0" xfId="0" applyNumberFormat="1" applyFont="1"/>
    <xf numFmtId="164" fontId="8" fillId="0" borderId="0" xfId="0" applyNumberFormat="1" applyFont="1" applyAlignment="1">
      <alignment vertical="top" wrapText="1"/>
    </xf>
    <xf numFmtId="164" fontId="5" fillId="0" borderId="0" xfId="0" applyNumberFormat="1" applyFont="1" applyAlignment="1">
      <alignment vertical="top" wrapText="1"/>
    </xf>
    <xf numFmtId="164" fontId="8" fillId="0" borderId="0" xfId="0" applyNumberFormat="1" applyFont="1" applyBorder="1" applyAlignment="1">
      <alignment horizontal="right"/>
    </xf>
    <xf numFmtId="164" fontId="13" fillId="0" borderId="0" xfId="0" applyNumberFormat="1" applyFont="1" applyAlignment="1">
      <alignment horizontal="right"/>
    </xf>
    <xf numFmtId="164" fontId="8" fillId="0" borderId="0" xfId="0" applyNumberFormat="1" applyFont="1"/>
    <xf numFmtId="164" fontId="5" fillId="0" borderId="0" xfId="0" applyNumberFormat="1" applyFont="1" applyBorder="1"/>
    <xf numFmtId="164" fontId="5" fillId="0" borderId="0" xfId="0" applyNumberFormat="1" applyFont="1" applyBorder="1" applyAlignment="1">
      <alignment horizontal="right"/>
    </xf>
    <xf numFmtId="164" fontId="11" fillId="0" borderId="0" xfId="0" applyNumberFormat="1" applyFont="1" applyBorder="1"/>
    <xf numFmtId="164" fontId="14" fillId="0" borderId="0" xfId="0" applyNumberFormat="1" applyFont="1"/>
    <xf numFmtId="164" fontId="5" fillId="0" borderId="0" xfId="0" applyNumberFormat="1" applyFont="1" applyAlignment="1">
      <alignment horizontal="left" vertical="center"/>
    </xf>
    <xf numFmtId="0" fontId="6" fillId="0" borderId="0" xfId="0" applyFont="1"/>
    <xf numFmtId="164" fontId="5" fillId="0" borderId="0" xfId="0" applyNumberFormat="1" applyFont="1" applyAlignment="1"/>
    <xf numFmtId="0" fontId="8" fillId="0" borderId="0" xfId="0" applyFont="1" applyAlignment="1">
      <alignment vertical="top"/>
    </xf>
    <xf numFmtId="164" fontId="5" fillId="0" borderId="0" xfId="0" applyNumberFormat="1" applyFont="1" applyAlignment="1">
      <alignment horizontal="left" vertical="center" wrapText="1"/>
    </xf>
    <xf numFmtId="164" fontId="2" fillId="0" borderId="0" xfId="0" applyNumberFormat="1" applyFont="1" applyAlignment="1">
      <alignment vertical="top"/>
    </xf>
    <xf numFmtId="164" fontId="16" fillId="0" borderId="0" xfId="0" applyNumberFormat="1" applyFont="1"/>
    <xf numFmtId="164" fontId="6" fillId="0" borderId="0" xfId="0" applyNumberFormat="1" applyFont="1" applyAlignment="1">
      <alignment horizontal="left"/>
    </xf>
    <xf numFmtId="164" fontId="4" fillId="0" borderId="0" xfId="0" applyNumberFormat="1" applyFont="1" applyAlignment="1">
      <alignment wrapText="1"/>
    </xf>
    <xf numFmtId="164" fontId="5" fillId="0" borderId="0" xfId="0" applyNumberFormat="1" applyFont="1" applyBorder="1" applyAlignment="1">
      <alignment wrapText="1"/>
    </xf>
    <xf numFmtId="164" fontId="17" fillId="0" borderId="0" xfId="0" applyNumberFormat="1" applyFont="1"/>
    <xf numFmtId="164" fontId="4" fillId="0" borderId="0" xfId="0" applyNumberFormat="1" applyFont="1" applyBorder="1" applyAlignment="1">
      <alignment vertical="top" wrapText="1"/>
    </xf>
    <xf numFmtId="164" fontId="10" fillId="0" borderId="0" xfId="0" applyNumberFormat="1" applyFont="1" applyAlignment="1">
      <alignment wrapText="1"/>
    </xf>
    <xf numFmtId="164" fontId="18" fillId="0" borderId="0" xfId="0" applyNumberFormat="1" applyFont="1" applyAlignment="1">
      <alignment wrapText="1"/>
    </xf>
    <xf numFmtId="164" fontId="6" fillId="0" borderId="0" xfId="0" applyNumberFormat="1" applyFont="1" applyAlignment="1">
      <alignment horizontal="right"/>
    </xf>
    <xf numFmtId="164" fontId="19" fillId="0" borderId="0" xfId="0" applyNumberFormat="1" applyFont="1"/>
    <xf numFmtId="0" fontId="3" fillId="0" borderId="0" xfId="0" applyFont="1" applyAlignment="1">
      <alignment horizontal="center" vertical="top" wrapText="1"/>
    </xf>
    <xf numFmtId="0" fontId="3" fillId="0" borderId="0" xfId="0" applyFont="1" applyAlignment="1">
      <alignment horizontal="right" vertical="top" wrapText="1"/>
    </xf>
    <xf numFmtId="164" fontId="14" fillId="0" borderId="0" xfId="0" applyNumberFormat="1" applyFont="1" applyAlignment="1">
      <alignment horizontal="right"/>
    </xf>
    <xf numFmtId="0" fontId="8" fillId="0" borderId="0" xfId="0" applyFont="1" applyAlignment="1">
      <alignment horizontal="right" vertical="top" wrapText="1"/>
    </xf>
    <xf numFmtId="164" fontId="4" fillId="0" borderId="0" xfId="0" applyNumberFormat="1" applyFont="1" applyAlignment="1">
      <alignment horizontal="right" vertical="top" wrapText="1"/>
    </xf>
    <xf numFmtId="164" fontId="20" fillId="0" borderId="0" xfId="0" applyNumberFormat="1" applyFont="1" applyAlignment="1">
      <alignment wrapText="1"/>
    </xf>
    <xf numFmtId="0" fontId="5" fillId="0" borderId="0" xfId="0" applyFont="1" applyAlignment="1">
      <alignment horizontal="right"/>
    </xf>
    <xf numFmtId="164" fontId="5" fillId="0" borderId="0" xfId="0" applyNumberFormat="1" applyFont="1" applyAlignment="1">
      <alignment horizontal="right" vertical="top" wrapText="1"/>
    </xf>
    <xf numFmtId="164" fontId="10" fillId="0" borderId="0" xfId="0" applyNumberFormat="1" applyFont="1" applyAlignment="1">
      <alignment horizontal="left" vertical="center"/>
    </xf>
    <xf numFmtId="0" fontId="2" fillId="0" borderId="0" xfId="0" applyFont="1" applyAlignment="1">
      <alignment horizontal="left" vertical="top"/>
    </xf>
    <xf numFmtId="164" fontId="10" fillId="0" borderId="0" xfId="0" applyNumberFormat="1" applyFont="1" applyAlignment="1">
      <alignment horizontal="right" vertical="center" wrapText="1"/>
    </xf>
    <xf numFmtId="0" fontId="5" fillId="0" borderId="0" xfId="0" applyFont="1"/>
    <xf numFmtId="0" fontId="6" fillId="0" borderId="0" xfId="0" applyFont="1" applyAlignment="1">
      <alignment horizontal="left"/>
    </xf>
    <xf numFmtId="0" fontId="5" fillId="0" borderId="0" xfId="0" applyFont="1" applyAlignment="1"/>
    <xf numFmtId="164" fontId="22" fillId="0" borderId="0" xfId="0" applyNumberFormat="1" applyFont="1"/>
    <xf numFmtId="164" fontId="10" fillId="0" borderId="0" xfId="0" applyNumberFormat="1" applyFont="1" applyBorder="1" applyAlignment="1">
      <alignment wrapText="1"/>
    </xf>
    <xf numFmtId="0" fontId="23" fillId="0" borderId="0" xfId="0" applyFont="1"/>
    <xf numFmtId="164" fontId="24" fillId="0" borderId="0" xfId="0" applyNumberFormat="1" applyFont="1" applyAlignment="1"/>
    <xf numFmtId="164" fontId="18" fillId="0" borderId="0" xfId="0" applyNumberFormat="1" applyFont="1" applyAlignment="1">
      <alignment vertical="top" wrapText="1"/>
    </xf>
    <xf numFmtId="0" fontId="8" fillId="0" borderId="0" xfId="0" applyFont="1" applyAlignment="1">
      <alignment horizontal="right" vertical="center"/>
    </xf>
    <xf numFmtId="164" fontId="18" fillId="0" borderId="0" xfId="0" applyNumberFormat="1" applyFont="1" applyAlignment="1">
      <alignment horizontal="right" vertical="top" wrapText="1"/>
    </xf>
    <xf numFmtId="164" fontId="22" fillId="0" borderId="3" xfId="0" applyNumberFormat="1" applyFont="1" applyBorder="1" applyAlignment="1"/>
    <xf numFmtId="164" fontId="10" fillId="0" borderId="0" xfId="0" applyNumberFormat="1" applyFont="1" applyAlignment="1">
      <alignment vertical="top" wrapText="1"/>
    </xf>
    <xf numFmtId="0" fontId="23" fillId="0" borderId="3" xfId="0" applyFont="1" applyBorder="1" applyAlignment="1">
      <alignment horizontal="right" vertical="center"/>
    </xf>
    <xf numFmtId="0" fontId="23" fillId="0" borderId="3" xfId="0" applyFont="1" applyBorder="1" applyAlignment="1">
      <alignment horizontal="right"/>
    </xf>
    <xf numFmtId="0" fontId="6" fillId="0" borderId="0" xfId="0" applyFont="1" applyAlignment="1">
      <alignment horizontal="right"/>
    </xf>
    <xf numFmtId="0" fontId="8" fillId="0" borderId="3" xfId="0" applyFont="1" applyBorder="1" applyAlignment="1">
      <alignment horizontal="right"/>
    </xf>
    <xf numFmtId="164" fontId="24" fillId="0" borderId="0" xfId="0" applyNumberFormat="1" applyFont="1" applyAlignment="1">
      <alignment horizontal="left" vertical="center" wrapText="1"/>
    </xf>
    <xf numFmtId="164" fontId="24" fillId="0" borderId="0" xfId="0" applyNumberFormat="1" applyFont="1" applyAlignment="1"/>
    <xf numFmtId="0" fontId="16" fillId="0" borderId="0" xfId="0" applyFont="1" applyAlignment="1"/>
    <xf numFmtId="0" fontId="16" fillId="0" borderId="0" xfId="0" applyFont="1" applyAlignment="1">
      <alignment vertical="top" wrapText="1"/>
    </xf>
    <xf numFmtId="164" fontId="5" fillId="0" borderId="0" xfId="0" applyNumberFormat="1" applyFont="1" applyAlignment="1">
      <alignment horizontal="right" vertical="top" wrapText="1"/>
    </xf>
    <xf numFmtId="0" fontId="6" fillId="0" borderId="0" xfId="0" applyFont="1" applyAlignment="1">
      <alignment vertical="top"/>
    </xf>
    <xf numFmtId="164" fontId="4" fillId="0" borderId="0" xfId="0" applyNumberFormat="1" applyFont="1" applyBorder="1" applyAlignment="1">
      <alignment horizontal="right" vertical="top" wrapText="1"/>
    </xf>
    <xf numFmtId="164" fontId="25" fillId="3" borderId="0" xfId="0" applyNumberFormat="1" applyFont="1" applyFill="1" applyAlignment="1">
      <alignment horizontal="right" wrapText="1"/>
    </xf>
    <xf numFmtId="0" fontId="4" fillId="0" borderId="0" xfId="0" applyFont="1" applyAlignment="1">
      <alignment horizontal="right" vertical="top" wrapText="1"/>
    </xf>
    <xf numFmtId="0" fontId="4" fillId="0" borderId="0" xfId="0" applyFont="1" applyAlignment="1">
      <alignment vertical="top" wrapText="1"/>
    </xf>
    <xf numFmtId="0" fontId="6" fillId="0" borderId="0" xfId="0" applyFont="1" applyAlignment="1">
      <alignment horizontal="right" vertical="top"/>
    </xf>
    <xf numFmtId="0" fontId="0" fillId="0" borderId="0" xfId="0" applyFont="1"/>
    <xf numFmtId="0" fontId="2" fillId="0" borderId="4" xfId="0" applyFont="1" applyBorder="1" applyAlignment="1">
      <alignment horizontal="left" vertical="top"/>
    </xf>
    <xf numFmtId="0" fontId="26" fillId="0" borderId="0" xfId="0" applyFont="1"/>
    <xf numFmtId="164" fontId="4" fillId="0" borderId="0" xfId="0" applyNumberFormat="1" applyFont="1" applyAlignment="1">
      <alignment vertical="top" wrapText="1"/>
    </xf>
    <xf numFmtId="0" fontId="3" fillId="0" borderId="0" xfId="0" applyFont="1" applyAlignment="1">
      <alignment horizontal="right" vertical="top"/>
    </xf>
    <xf numFmtId="164" fontId="27" fillId="0" borderId="0" xfId="0" applyNumberFormat="1" applyFont="1" applyAlignment="1"/>
    <xf numFmtId="0" fontId="5" fillId="0" borderId="0" xfId="0" applyFont="1" applyAlignment="1">
      <alignment vertical="top" wrapText="1"/>
    </xf>
    <xf numFmtId="164" fontId="26" fillId="0" borderId="0" xfId="0" applyNumberFormat="1" applyFont="1"/>
    <xf numFmtId="164" fontId="5" fillId="0" borderId="0" xfId="0" applyNumberFormat="1" applyFont="1" applyAlignment="1">
      <alignment horizontal="right" vertical="top"/>
    </xf>
    <xf numFmtId="164" fontId="1" fillId="0" borderId="0" xfId="0" applyNumberFormat="1" applyFont="1" applyAlignment="1"/>
    <xf numFmtId="164" fontId="1" fillId="0" borderId="0" xfId="0" applyNumberFormat="1" applyFont="1" applyAlignment="1">
      <alignment horizontal="right"/>
    </xf>
    <xf numFmtId="0" fontId="5" fillId="0" borderId="0" xfId="0" applyFont="1" applyAlignment="1">
      <alignment vertical="top" wrapText="1"/>
    </xf>
    <xf numFmtId="1" fontId="28" fillId="0" borderId="6" xfId="0" applyNumberFormat="1" applyFont="1" applyBorder="1"/>
    <xf numFmtId="164" fontId="4" fillId="0" borderId="0" xfId="0" applyNumberFormat="1" applyFont="1" applyAlignment="1">
      <alignment horizontal="right" vertical="top" wrapText="1"/>
    </xf>
    <xf numFmtId="1" fontId="15" fillId="0" borderId="6" xfId="0" applyNumberFormat="1" applyFont="1" applyBorder="1"/>
    <xf numFmtId="0" fontId="28" fillId="0" borderId="6" xfId="0" applyFont="1" applyBorder="1" applyAlignment="1">
      <alignment vertical="top" wrapText="1"/>
    </xf>
    <xf numFmtId="0" fontId="8" fillId="0" borderId="0" xfId="0" applyFont="1" applyAlignment="1">
      <alignment vertical="top" wrapText="1"/>
    </xf>
    <xf numFmtId="0" fontId="15" fillId="0" borderId="6" xfId="0" applyFont="1" applyBorder="1"/>
    <xf numFmtId="0" fontId="28" fillId="0" borderId="6" xfId="0" applyFont="1" applyBorder="1"/>
    <xf numFmtId="0" fontId="28" fillId="0" borderId="0" xfId="0" applyFont="1"/>
    <xf numFmtId="0" fontId="29" fillId="0" borderId="6" xfId="0" applyFont="1" applyBorder="1"/>
    <xf numFmtId="1" fontId="15" fillId="0" borderId="6" xfId="0" applyNumberFormat="1" applyFont="1" applyBorder="1" applyAlignment="1">
      <alignment horizontal="center"/>
    </xf>
    <xf numFmtId="164" fontId="4" fillId="0" borderId="0" xfId="0" applyNumberFormat="1" applyFont="1" applyAlignment="1">
      <alignment horizontal="right"/>
    </xf>
    <xf numFmtId="164" fontId="17" fillId="0" borderId="0" xfId="0" applyNumberFormat="1" applyFont="1" applyAlignment="1">
      <alignment horizontal="right"/>
    </xf>
    <xf numFmtId="0" fontId="30" fillId="0" borderId="0" xfId="0" applyFont="1" applyAlignment="1">
      <alignment vertical="top" wrapText="1"/>
    </xf>
    <xf numFmtId="164" fontId="31" fillId="0" borderId="0" xfId="0" applyNumberFormat="1" applyFont="1"/>
    <xf numFmtId="0" fontId="30" fillId="4" borderId="0" xfId="0" applyFont="1" applyFill="1" applyBorder="1" applyAlignment="1">
      <alignment vertical="top" wrapText="1"/>
    </xf>
    <xf numFmtId="0" fontId="5" fillId="0" borderId="0" xfId="0" applyFont="1" applyAlignment="1">
      <alignment horizontal="left" vertical="top" wrapText="1"/>
    </xf>
    <xf numFmtId="0" fontId="30" fillId="5" borderId="0" xfId="0" applyFont="1" applyFill="1" applyBorder="1" applyAlignment="1">
      <alignment vertical="top" wrapText="1"/>
    </xf>
    <xf numFmtId="0" fontId="30" fillId="6" borderId="0" xfId="0" applyFont="1" applyFill="1" applyBorder="1" applyAlignment="1">
      <alignment vertical="top" wrapText="1"/>
    </xf>
    <xf numFmtId="1" fontId="7" fillId="0" borderId="0" xfId="0" applyNumberFormat="1" applyFont="1" applyAlignment="1">
      <alignment vertical="top"/>
    </xf>
    <xf numFmtId="0" fontId="32" fillId="0" borderId="0" xfId="0" applyFont="1"/>
    <xf numFmtId="2" fontId="7" fillId="0" borderId="0" xfId="0" applyNumberFormat="1" applyFont="1" applyAlignment="1">
      <alignment vertical="top"/>
    </xf>
    <xf numFmtId="164" fontId="33" fillId="0" borderId="0" xfId="0" applyNumberFormat="1" applyFont="1" applyAlignment="1">
      <alignment horizontal="right"/>
    </xf>
    <xf numFmtId="0" fontId="6" fillId="0" borderId="0" xfId="0" applyFont="1" applyAlignment="1"/>
    <xf numFmtId="164" fontId="18" fillId="0" borderId="0" xfId="0" applyNumberFormat="1" applyFont="1" applyBorder="1" applyAlignment="1">
      <alignment vertical="top" wrapText="1"/>
    </xf>
    <xf numFmtId="164" fontId="34" fillId="0" borderId="0" xfId="0" applyNumberFormat="1" applyFont="1" applyAlignment="1">
      <alignment horizontal="right" wrapText="1"/>
    </xf>
    <xf numFmtId="164" fontId="5" fillId="0" borderId="0" xfId="0" applyNumberFormat="1" applyFont="1" applyAlignment="1">
      <alignment horizontal="right" vertical="center" wrapText="1"/>
    </xf>
    <xf numFmtId="164" fontId="18" fillId="0" borderId="0" xfId="0" applyNumberFormat="1" applyFont="1"/>
    <xf numFmtId="164" fontId="18" fillId="0" borderId="0" xfId="0" applyNumberFormat="1" applyFont="1" applyAlignment="1">
      <alignment horizontal="right"/>
    </xf>
    <xf numFmtId="164" fontId="14" fillId="0" borderId="0" xfId="0" applyNumberFormat="1" applyFont="1" applyAlignment="1">
      <alignment horizontal="left"/>
    </xf>
    <xf numFmtId="0" fontId="3" fillId="0" borderId="0" xfId="0" applyFont="1" applyAlignment="1">
      <alignment horizontal="left"/>
    </xf>
    <xf numFmtId="164" fontId="4" fillId="0" borderId="0" xfId="0" applyNumberFormat="1" applyFont="1" applyAlignment="1">
      <alignment horizontal="left" vertical="top" wrapText="1"/>
    </xf>
    <xf numFmtId="166" fontId="8" fillId="0" borderId="0" xfId="0" applyNumberFormat="1" applyFont="1"/>
    <xf numFmtId="164" fontId="5" fillId="0" borderId="0" xfId="0" applyNumberFormat="1" applyFont="1" applyBorder="1" applyAlignment="1">
      <alignment vertical="top" wrapText="1"/>
    </xf>
    <xf numFmtId="164" fontId="5" fillId="0" borderId="0" xfId="0" applyNumberFormat="1" applyFont="1" applyAlignment="1">
      <alignment horizontal="right"/>
    </xf>
    <xf numFmtId="164" fontId="10" fillId="0" borderId="0" xfId="0" applyNumberFormat="1" applyFont="1" applyAlignment="1">
      <alignment horizontal="right"/>
    </xf>
    <xf numFmtId="164" fontId="4" fillId="0" borderId="0" xfId="0" applyNumberFormat="1" applyFont="1" applyAlignment="1">
      <alignment horizontal="right" vertical="center" wrapText="1"/>
    </xf>
    <xf numFmtId="164" fontId="10" fillId="0" borderId="0" xfId="0" applyNumberFormat="1" applyFont="1" applyAlignment="1">
      <alignment horizontal="right"/>
    </xf>
    <xf numFmtId="164" fontId="8" fillId="0" borderId="0" xfId="0" applyNumberFormat="1" applyFont="1" applyAlignment="1">
      <alignment horizontal="left" vertical="center"/>
    </xf>
    <xf numFmtId="164" fontId="4" fillId="0" borderId="0" xfId="0" applyNumberFormat="1" applyFont="1" applyBorder="1" applyAlignment="1">
      <alignment horizontal="right" wrapText="1"/>
    </xf>
    <xf numFmtId="0" fontId="14" fillId="0" borderId="0" xfId="0" applyFont="1" applyAlignment="1">
      <alignment horizontal="right"/>
    </xf>
    <xf numFmtId="164" fontId="8" fillId="0" borderId="0" xfId="0" applyNumberFormat="1" applyFont="1" applyBorder="1" applyAlignment="1">
      <alignment wrapText="1"/>
    </xf>
    <xf numFmtId="0" fontId="32" fillId="0" borderId="0" xfId="0" applyFont="1" applyAlignment="1">
      <alignment horizontal="right"/>
    </xf>
    <xf numFmtId="164" fontId="10" fillId="0" borderId="0" xfId="0" applyNumberFormat="1" applyFont="1" applyBorder="1" applyAlignment="1">
      <alignment vertical="top" wrapText="1"/>
    </xf>
    <xf numFmtId="0" fontId="4" fillId="0" borderId="0" xfId="0" applyFont="1"/>
    <xf numFmtId="0" fontId="7" fillId="4" borderId="0" xfId="0" applyFont="1" applyFill="1" applyAlignment="1"/>
    <xf numFmtId="0" fontId="7" fillId="4" borderId="0" xfId="0" applyFont="1" applyFill="1" applyAlignment="1">
      <alignment vertical="top"/>
    </xf>
    <xf numFmtId="0" fontId="35" fillId="0" borderId="0" xfId="0" applyFont="1" applyAlignment="1"/>
    <xf numFmtId="0" fontId="7" fillId="4" borderId="0" xfId="0" applyFont="1" applyFill="1" applyAlignment="1">
      <alignment vertical="top"/>
    </xf>
    <xf numFmtId="0" fontId="7" fillId="5" borderId="0" xfId="0" applyFont="1" applyFill="1" applyAlignment="1">
      <alignment vertical="top"/>
    </xf>
    <xf numFmtId="0" fontId="7" fillId="5" borderId="0" xfId="0" applyFont="1" applyFill="1" applyAlignment="1"/>
    <xf numFmtId="164" fontId="7" fillId="6" borderId="0" xfId="0" applyNumberFormat="1" applyFont="1" applyFill="1" applyAlignment="1">
      <alignment vertical="top"/>
    </xf>
    <xf numFmtId="164" fontId="3" fillId="0" borderId="0" xfId="0" applyNumberFormat="1" applyFont="1" applyAlignment="1">
      <alignment horizontal="right" vertical="top" wrapText="1"/>
    </xf>
    <xf numFmtId="166" fontId="5" fillId="0" borderId="0" xfId="0" applyNumberFormat="1" applyFont="1" applyAlignment="1">
      <alignment horizontal="right"/>
    </xf>
    <xf numFmtId="0" fontId="3" fillId="0" borderId="0" xfId="0" applyFont="1" applyAlignment="1">
      <alignment horizontal="left" vertical="top"/>
    </xf>
    <xf numFmtId="164" fontId="4" fillId="0" borderId="0" xfId="0" applyNumberFormat="1" applyFont="1" applyAlignment="1">
      <alignment horizontal="right" vertical="top"/>
    </xf>
    <xf numFmtId="164" fontId="4" fillId="0" borderId="0" xfId="0" applyNumberFormat="1" applyFont="1" applyAlignment="1">
      <alignment horizontal="left" vertical="top"/>
    </xf>
    <xf numFmtId="164" fontId="4" fillId="0" borderId="0" xfId="0" applyNumberFormat="1" applyFont="1" applyAlignment="1">
      <alignment horizontal="right" vertical="top"/>
    </xf>
    <xf numFmtId="0" fontId="16" fillId="0" borderId="0" xfId="0" applyFont="1" applyAlignment="1">
      <alignment vertical="top"/>
    </xf>
    <xf numFmtId="164" fontId="7" fillId="0" borderId="0" xfId="0" applyNumberFormat="1" applyFont="1" applyAlignment="1"/>
    <xf numFmtId="0" fontId="15" fillId="0" borderId="6" xfId="0" applyFont="1" applyBorder="1" applyAlignment="1">
      <alignment horizontal="center"/>
    </xf>
    <xf numFmtId="1" fontId="15" fillId="0" borderId="6" xfId="0" applyNumberFormat="1" applyFont="1" applyBorder="1" applyAlignment="1">
      <alignment horizontal="right"/>
    </xf>
    <xf numFmtId="0" fontId="21" fillId="0" borderId="0" xfId="0" applyFont="1"/>
    <xf numFmtId="0" fontId="15" fillId="0" borderId="6" xfId="0" applyFont="1" applyBorder="1" applyAlignment="1">
      <alignment horizontal="right"/>
    </xf>
    <xf numFmtId="164" fontId="36" fillId="0" borderId="0" xfId="0" applyNumberFormat="1" applyFont="1" applyAlignment="1"/>
    <xf numFmtId="1" fontId="37" fillId="0" borderId="6" xfId="0" applyNumberFormat="1" applyFont="1" applyBorder="1" applyAlignment="1">
      <alignment horizontal="right"/>
    </xf>
    <xf numFmtId="0" fontId="37" fillId="0" borderId="6" xfId="0" applyFont="1" applyBorder="1"/>
    <xf numFmtId="164" fontId="3" fillId="0" borderId="0" xfId="0" applyNumberFormat="1" applyFont="1" applyAlignment="1">
      <alignment vertical="top" wrapText="1"/>
    </xf>
    <xf numFmtId="164" fontId="21" fillId="0" borderId="0" xfId="0" applyNumberFormat="1" applyFont="1"/>
    <xf numFmtId="0" fontId="38" fillId="0" borderId="0" xfId="0" applyFont="1"/>
    <xf numFmtId="164" fontId="8" fillId="0" borderId="0" xfId="0" applyNumberFormat="1" applyFont="1" applyAlignment="1">
      <alignment horizontal="right"/>
    </xf>
    <xf numFmtId="165" fontId="8" fillId="0" borderId="0" xfId="0" applyNumberFormat="1" applyFont="1" applyAlignment="1">
      <alignment horizontal="right"/>
    </xf>
    <xf numFmtId="164" fontId="8" fillId="0" borderId="0" xfId="0" applyNumberFormat="1" applyFont="1" applyAlignment="1">
      <alignment vertical="top" wrapText="1"/>
    </xf>
    <xf numFmtId="0" fontId="6" fillId="0" borderId="0" xfId="0" applyFont="1" applyAlignment="1">
      <alignment horizontal="left" vertical="top"/>
    </xf>
    <xf numFmtId="0" fontId="6" fillId="7" borderId="0" xfId="0" applyFont="1" applyFill="1" applyAlignment="1">
      <alignment horizontal="left" vertical="top"/>
    </xf>
    <xf numFmtId="164" fontId="39" fillId="3" borderId="0" xfId="0" applyNumberFormat="1" applyFont="1" applyFill="1" applyAlignment="1">
      <alignment horizontal="left"/>
    </xf>
    <xf numFmtId="164" fontId="40" fillId="3" borderId="0" xfId="0" applyNumberFormat="1" applyFont="1" applyFill="1" applyAlignment="1">
      <alignment horizontal="right"/>
    </xf>
    <xf numFmtId="164" fontId="31" fillId="0" borderId="0" xfId="0" applyNumberFormat="1" applyFont="1" applyAlignment="1">
      <alignment horizontal="right"/>
    </xf>
    <xf numFmtId="164" fontId="10" fillId="0" borderId="0" xfId="0" applyNumberFormat="1" applyFont="1" applyAlignment="1">
      <alignment wrapText="1"/>
    </xf>
    <xf numFmtId="164" fontId="10" fillId="0" borderId="0" xfId="0" applyNumberFormat="1" applyFont="1" applyAlignment="1"/>
    <xf numFmtId="0" fontId="2" fillId="0" borderId="0" xfId="0" applyFont="1" applyAlignment="1">
      <alignment horizontal="right"/>
    </xf>
    <xf numFmtId="164" fontId="41" fillId="0" borderId="0" xfId="0" applyNumberFormat="1" applyFont="1" applyBorder="1"/>
    <xf numFmtId="0" fontId="42" fillId="0" borderId="0" xfId="0" applyFont="1" applyAlignment="1">
      <alignment horizontal="right" vertical="top" wrapText="1"/>
    </xf>
    <xf numFmtId="2" fontId="6" fillId="0" borderId="0" xfId="0" applyNumberFormat="1" applyFont="1" applyAlignment="1">
      <alignment horizontal="right"/>
    </xf>
    <xf numFmtId="164" fontId="24" fillId="0" borderId="0" xfId="0" applyNumberFormat="1" applyFont="1" applyAlignment="1">
      <alignment horizontal="right"/>
    </xf>
    <xf numFmtId="164" fontId="12" fillId="0" borderId="0" xfId="0" applyNumberFormat="1" applyFont="1" applyAlignment="1">
      <alignment vertical="top" wrapText="1"/>
    </xf>
    <xf numFmtId="164" fontId="24" fillId="0" borderId="0" xfId="0" applyNumberFormat="1" applyFont="1" applyAlignment="1">
      <alignment horizontal="right" vertical="center"/>
    </xf>
    <xf numFmtId="164" fontId="18" fillId="0" borderId="0" xfId="0" applyNumberFormat="1" applyFont="1" applyBorder="1" applyAlignment="1">
      <alignment horizontal="right"/>
    </xf>
    <xf numFmtId="0" fontId="14" fillId="0" borderId="0" xfId="0" applyFont="1"/>
    <xf numFmtId="164" fontId="24" fillId="0" borderId="0" xfId="0" applyNumberFormat="1" applyFont="1"/>
    <xf numFmtId="0" fontId="6" fillId="0" borderId="0" xfId="0" applyFont="1" applyAlignment="1">
      <alignment horizontal="center" vertical="top" wrapText="1"/>
    </xf>
    <xf numFmtId="0" fontId="2" fillId="0" borderId="0" xfId="0" applyFont="1"/>
    <xf numFmtId="0" fontId="6" fillId="0" borderId="0" xfId="0" applyFont="1" applyAlignment="1">
      <alignment horizontal="left"/>
    </xf>
    <xf numFmtId="164" fontId="8" fillId="0" borderId="0" xfId="0" applyNumberFormat="1" applyFont="1" applyAlignment="1">
      <alignment horizontal="right" vertical="top" wrapText="1"/>
    </xf>
    <xf numFmtId="164" fontId="24" fillId="0" borderId="0" xfId="0" applyNumberFormat="1" applyFont="1" applyAlignment="1">
      <alignment horizontal="left" vertical="center"/>
    </xf>
    <xf numFmtId="164" fontId="43" fillId="0" borderId="0" xfId="0" applyNumberFormat="1" applyFont="1" applyAlignment="1"/>
    <xf numFmtId="164" fontId="5" fillId="7" borderId="0" xfId="0" applyNumberFormat="1" applyFont="1" applyFill="1" applyBorder="1"/>
    <xf numFmtId="164" fontId="10" fillId="0" borderId="0" xfId="0" applyNumberFormat="1" applyFont="1" applyAlignment="1">
      <alignment horizontal="right" vertical="top" wrapText="1"/>
    </xf>
    <xf numFmtId="0" fontId="18" fillId="0" borderId="0" xfId="0" applyFont="1" applyAlignment="1">
      <alignment vertical="top" wrapText="1"/>
    </xf>
    <xf numFmtId="1" fontId="28" fillId="0" borderId="6" xfId="0" applyNumberFormat="1" applyFont="1" applyBorder="1" applyAlignment="1">
      <alignment vertical="top"/>
    </xf>
    <xf numFmtId="167" fontId="28" fillId="0" borderId="6" xfId="0" applyNumberFormat="1" applyFont="1" applyBorder="1" applyAlignment="1">
      <alignment vertical="top"/>
    </xf>
    <xf numFmtId="164" fontId="34" fillId="0" borderId="0" xfId="0" applyNumberFormat="1" applyFont="1" applyBorder="1" applyAlignment="1">
      <alignment vertical="top" wrapText="1"/>
    </xf>
    <xf numFmtId="164" fontId="28" fillId="0" borderId="6" xfId="0" applyNumberFormat="1" applyFont="1" applyBorder="1" applyAlignment="1">
      <alignment horizontal="right" vertical="top"/>
    </xf>
    <xf numFmtId="164" fontId="10" fillId="0" borderId="0" xfId="0" applyNumberFormat="1" applyFont="1" applyAlignment="1">
      <alignment horizontal="right" vertical="top" wrapText="1"/>
    </xf>
    <xf numFmtId="0" fontId="7" fillId="6" borderId="0" xfId="0" applyFont="1" applyFill="1" applyAlignment="1"/>
    <xf numFmtId="0" fontId="7" fillId="6" borderId="0" xfId="0" applyFont="1" applyFill="1" applyAlignment="1">
      <alignment vertical="top"/>
    </xf>
    <xf numFmtId="164" fontId="43" fillId="0" borderId="0" xfId="0" applyNumberFormat="1" applyFont="1" applyAlignment="1">
      <alignment wrapText="1"/>
    </xf>
    <xf numFmtId="164" fontId="4" fillId="0" borderId="0" xfId="0" applyNumberFormat="1" applyFont="1" applyAlignment="1">
      <alignment horizontal="right" wrapText="1"/>
    </xf>
    <xf numFmtId="0" fontId="30" fillId="0" borderId="0" xfId="0" applyFont="1"/>
    <xf numFmtId="164" fontId="28" fillId="0" borderId="0" xfId="0" applyNumberFormat="1" applyFont="1" applyAlignment="1">
      <alignment vertical="top" wrapText="1"/>
    </xf>
    <xf numFmtId="167" fontId="28" fillId="0" borderId="6" xfId="0" applyNumberFormat="1" applyFont="1" applyBorder="1" applyAlignment="1">
      <alignment horizontal="right" vertical="top"/>
    </xf>
    <xf numFmtId="164" fontId="5" fillId="0" borderId="0" xfId="0" applyNumberFormat="1" applyFont="1" applyBorder="1" applyAlignment="1">
      <alignment horizontal="right" vertical="center" wrapText="1"/>
    </xf>
    <xf numFmtId="0" fontId="44" fillId="0" borderId="0" xfId="0" applyFont="1" applyAlignment="1">
      <alignment vertical="top" wrapText="1"/>
    </xf>
    <xf numFmtId="164" fontId="27" fillId="0" borderId="0" xfId="0" applyNumberFormat="1" applyFont="1" applyAlignment="1">
      <alignment horizontal="left"/>
    </xf>
    <xf numFmtId="164" fontId="38" fillId="0" borderId="0" xfId="0" applyNumberFormat="1" applyFont="1"/>
    <xf numFmtId="164" fontId="11" fillId="0" borderId="0" xfId="0" applyNumberFormat="1" applyFont="1" applyAlignment="1">
      <alignment vertical="top" wrapText="1"/>
    </xf>
    <xf numFmtId="164" fontId="28" fillId="0" borderId="0" xfId="0" applyNumberFormat="1" applyFont="1"/>
    <xf numFmtId="164" fontId="4" fillId="0" borderId="0" xfId="0" applyNumberFormat="1" applyFont="1" applyAlignment="1">
      <alignment horizontal="left" vertical="top" wrapText="1"/>
    </xf>
    <xf numFmtId="167" fontId="4" fillId="0" borderId="0" xfId="0" applyNumberFormat="1" applyFont="1" applyAlignment="1">
      <alignment horizontal="right" vertical="top" wrapText="1"/>
    </xf>
    <xf numFmtId="164" fontId="4" fillId="0" borderId="0" xfId="0" applyNumberFormat="1" applyFont="1" applyAlignment="1">
      <alignment vertical="top"/>
    </xf>
    <xf numFmtId="164" fontId="3" fillId="0" borderId="0" xfId="0" applyNumberFormat="1" applyFont="1" applyAlignment="1">
      <alignment wrapText="1"/>
    </xf>
    <xf numFmtId="164" fontId="3" fillId="0" borderId="0" xfId="0" applyNumberFormat="1" applyFont="1" applyAlignment="1">
      <alignment horizontal="right" wrapText="1"/>
    </xf>
    <xf numFmtId="164" fontId="24" fillId="0" borderId="0" xfId="0" applyNumberFormat="1" applyFont="1" applyBorder="1"/>
    <xf numFmtId="164" fontId="3" fillId="0" borderId="0" xfId="0" applyNumberFormat="1" applyFont="1" applyAlignment="1">
      <alignment horizontal="right" wrapText="1"/>
    </xf>
    <xf numFmtId="164" fontId="41" fillId="0" borderId="0" xfId="0" applyNumberFormat="1" applyFont="1"/>
    <xf numFmtId="164" fontId="5" fillId="0" borderId="0" xfId="0" applyNumberFormat="1" applyFont="1" applyBorder="1" applyAlignment="1"/>
    <xf numFmtId="3" fontId="4" fillId="0" borderId="0" xfId="0" applyNumberFormat="1" applyFont="1" applyAlignment="1">
      <alignment horizontal="right" vertical="top" wrapText="1"/>
    </xf>
    <xf numFmtId="164" fontId="34" fillId="0" borderId="0" xfId="0" applyNumberFormat="1" applyFont="1"/>
    <xf numFmtId="164" fontId="11" fillId="0" borderId="0" xfId="0" applyNumberFormat="1" applyFont="1" applyAlignment="1">
      <alignment horizontal="right" vertical="top" wrapText="1"/>
    </xf>
    <xf numFmtId="164" fontId="7" fillId="0" borderId="0" xfId="0" applyNumberFormat="1" applyFont="1" applyAlignment="1"/>
    <xf numFmtId="164" fontId="27" fillId="0" borderId="0" xfId="0" applyNumberFormat="1" applyFont="1" applyAlignment="1"/>
    <xf numFmtId="164" fontId="4" fillId="7" borderId="0" xfId="0" applyNumberFormat="1" applyFont="1" applyFill="1" applyBorder="1" applyAlignment="1">
      <alignment horizontal="right"/>
    </xf>
    <xf numFmtId="164" fontId="18" fillId="0" borderId="0" xfId="0" applyNumberFormat="1" applyFont="1" applyBorder="1" applyAlignment="1">
      <alignment horizontal="right" vertical="top" wrapText="1"/>
    </xf>
    <xf numFmtId="0" fontId="15" fillId="0" borderId="6" xfId="0" applyFont="1" applyBorder="1" applyAlignment="1">
      <alignment horizontal="left" vertical="center"/>
    </xf>
    <xf numFmtId="0" fontId="30" fillId="0" borderId="0" xfId="0" applyFont="1" applyAlignment="1">
      <alignment horizontal="right"/>
    </xf>
    <xf numFmtId="0" fontId="27" fillId="0" borderId="0" xfId="0" applyFont="1" applyAlignment="1"/>
    <xf numFmtId="3" fontId="28" fillId="0" borderId="6" xfId="0" applyNumberFormat="1" applyFont="1" applyBorder="1" applyAlignment="1">
      <alignment vertical="top"/>
    </xf>
    <xf numFmtId="0" fontId="36" fillId="0" borderId="0" xfId="0" applyFont="1" applyAlignment="1">
      <alignment horizontal="center" vertical="top" wrapText="1"/>
    </xf>
    <xf numFmtId="3" fontId="28" fillId="0" borderId="0" xfId="0" applyNumberFormat="1" applyFont="1" applyAlignment="1">
      <alignment vertical="top"/>
    </xf>
    <xf numFmtId="0" fontId="36" fillId="0" borderId="0" xfId="0" applyFont="1" applyAlignment="1">
      <alignment horizontal="center" wrapText="1"/>
    </xf>
    <xf numFmtId="3" fontId="28" fillId="0" borderId="6" xfId="0" applyNumberFormat="1" applyFont="1" applyBorder="1" applyAlignment="1">
      <alignment vertical="center"/>
    </xf>
    <xf numFmtId="2" fontId="5" fillId="0" borderId="0" xfId="0" applyNumberFormat="1" applyFont="1"/>
    <xf numFmtId="0" fontId="27" fillId="0" borderId="0" xfId="0" applyFont="1" applyAlignment="1"/>
    <xf numFmtId="2" fontId="28" fillId="0" borderId="6" xfId="0" applyNumberFormat="1" applyFont="1" applyBorder="1" applyAlignment="1">
      <alignment horizontal="right" vertical="center"/>
    </xf>
    <xf numFmtId="0" fontId="4" fillId="0" borderId="0" xfId="0" applyFont="1" applyAlignment="1">
      <alignment vertical="top" wrapText="1"/>
    </xf>
    <xf numFmtId="2" fontId="28" fillId="0" borderId="6" xfId="0" applyNumberFormat="1" applyFont="1" applyBorder="1"/>
    <xf numFmtId="0" fontId="30" fillId="4" borderId="0" xfId="0" applyFont="1" applyFill="1" applyBorder="1"/>
    <xf numFmtId="2" fontId="28" fillId="0" borderId="6" xfId="0" applyNumberFormat="1" applyFont="1" applyBorder="1" applyAlignment="1"/>
    <xf numFmtId="0" fontId="30" fillId="5" borderId="0" xfId="0" applyFont="1" applyFill="1" applyBorder="1"/>
    <xf numFmtId="164" fontId="12" fillId="0" borderId="0" xfId="0" applyNumberFormat="1" applyFont="1" applyAlignment="1">
      <alignment horizontal="right"/>
    </xf>
    <xf numFmtId="0" fontId="30" fillId="5" borderId="0" xfId="0" applyFont="1" applyFill="1" applyBorder="1"/>
    <xf numFmtId="164" fontId="34" fillId="0" borderId="0" xfId="0" applyNumberFormat="1" applyFont="1" applyBorder="1" applyAlignment="1">
      <alignment horizontal="right" vertical="top" wrapText="1"/>
    </xf>
    <xf numFmtId="0" fontId="36" fillId="0" borderId="0" xfId="0" applyFont="1" applyAlignment="1"/>
    <xf numFmtId="0" fontId="36" fillId="0" borderId="0" xfId="0" applyFont="1" applyAlignment="1"/>
    <xf numFmtId="164" fontId="24" fillId="0" borderId="0" xfId="0" applyNumberFormat="1" applyFont="1" applyAlignment="1">
      <alignment vertical="top" wrapText="1"/>
    </xf>
    <xf numFmtId="0" fontId="30" fillId="5" borderId="0" xfId="0" applyFont="1" applyFill="1" applyBorder="1" applyAlignment="1"/>
    <xf numFmtId="164" fontId="5" fillId="7" borderId="0" xfId="0" applyNumberFormat="1" applyFont="1" applyFill="1" applyBorder="1" applyAlignment="1">
      <alignment horizontal="right"/>
    </xf>
    <xf numFmtId="0" fontId="30" fillId="6" borderId="0" xfId="0" applyFont="1" applyFill="1" applyBorder="1"/>
    <xf numFmtId="164" fontId="30" fillId="6" borderId="0" xfId="0" applyNumberFormat="1" applyFont="1" applyFill="1" applyBorder="1"/>
    <xf numFmtId="164" fontId="29" fillId="0" borderId="0" xfId="0" applyNumberFormat="1" applyFont="1"/>
    <xf numFmtId="0" fontId="30" fillId="6" borderId="0" xfId="0" applyFont="1" applyFill="1" applyBorder="1" applyAlignment="1"/>
    <xf numFmtId="0" fontId="30" fillId="6" borderId="0" xfId="0" applyFont="1" applyFill="1" applyBorder="1"/>
    <xf numFmtId="164" fontId="27" fillId="0" borderId="0" xfId="0" applyNumberFormat="1" applyFont="1" applyAlignment="1">
      <alignment horizontal="right" vertical="top" wrapText="1"/>
    </xf>
    <xf numFmtId="164" fontId="27" fillId="0" borderId="0" xfId="0" applyNumberFormat="1" applyFont="1" applyAlignment="1">
      <alignment horizontal="right" vertical="top" wrapText="1"/>
    </xf>
    <xf numFmtId="164" fontId="3" fillId="0" borderId="0" xfId="0" applyNumberFormat="1" applyFont="1" applyAlignment="1">
      <alignment horizontal="right" vertical="top" wrapText="1"/>
    </xf>
    <xf numFmtId="164" fontId="5" fillId="0" borderId="0" xfId="0" applyNumberFormat="1" applyFont="1" applyBorder="1" applyAlignment="1">
      <alignment horizontal="right" vertical="top" wrapText="1"/>
    </xf>
    <xf numFmtId="164" fontId="27" fillId="0" borderId="0" xfId="0" applyNumberFormat="1" applyFont="1" applyAlignment="1">
      <alignment horizontal="right"/>
    </xf>
    <xf numFmtId="164" fontId="4" fillId="8" borderId="0" xfId="0" applyNumberFormat="1" applyFont="1" applyFill="1" applyAlignment="1">
      <alignment horizontal="right" vertical="top" wrapText="1"/>
    </xf>
    <xf numFmtId="164" fontId="12" fillId="0" borderId="0" xfId="0" applyNumberFormat="1" applyFont="1"/>
    <xf numFmtId="164" fontId="18" fillId="7" borderId="0" xfId="0" applyNumberFormat="1" applyFont="1" applyFill="1" applyBorder="1" applyAlignment="1">
      <alignment horizontal="right"/>
    </xf>
    <xf numFmtId="164" fontId="18" fillId="0" borderId="0" xfId="0" applyNumberFormat="1" applyFont="1" applyAlignment="1">
      <alignment horizontal="left" vertical="top" wrapText="1"/>
    </xf>
    <xf numFmtId="164" fontId="18" fillId="0" borderId="0" xfId="0" applyNumberFormat="1" applyFont="1" applyAlignment="1">
      <alignment wrapText="1"/>
    </xf>
    <xf numFmtId="164" fontId="18" fillId="0" borderId="0" xfId="0" applyNumberFormat="1" applyFont="1" applyAlignment="1">
      <alignment horizontal="right" wrapText="1"/>
    </xf>
    <xf numFmtId="164" fontId="18" fillId="0" borderId="0" xfId="0" applyNumberFormat="1" applyFont="1" applyBorder="1" applyAlignment="1">
      <alignment horizontal="right" wrapText="1"/>
    </xf>
    <xf numFmtId="164" fontId="45" fillId="0" borderId="0" xfId="0" applyNumberFormat="1" applyFont="1" applyAlignment="1"/>
    <xf numFmtId="1" fontId="29" fillId="0" borderId="6" xfId="0" applyNumberFormat="1" applyFont="1" applyBorder="1"/>
    <xf numFmtId="164" fontId="4" fillId="3" borderId="0" xfId="0" applyNumberFormat="1" applyFont="1" applyFill="1" applyAlignment="1">
      <alignment horizontal="right" vertical="top" wrapText="1"/>
    </xf>
    <xf numFmtId="167" fontId="28" fillId="0" borderId="6" xfId="0" applyNumberFormat="1" applyFont="1" applyBorder="1" applyAlignment="1">
      <alignment horizontal="right" vertical="top"/>
    </xf>
    <xf numFmtId="164" fontId="10" fillId="7" borderId="0" xfId="0" applyNumberFormat="1" applyFont="1" applyFill="1" applyBorder="1" applyAlignment="1">
      <alignment horizontal="right"/>
    </xf>
    <xf numFmtId="164" fontId="24" fillId="0" borderId="0" xfId="0" applyNumberFormat="1" applyFont="1" applyAlignment="1">
      <alignment horizontal="right" vertical="center" wrapText="1"/>
    </xf>
    <xf numFmtId="164" fontId="22" fillId="0" borderId="3" xfId="0" applyNumberFormat="1" applyFont="1" applyBorder="1" applyAlignment="1">
      <alignment horizontal="left" vertical="center"/>
    </xf>
    <xf numFmtId="164" fontId="46" fillId="0" borderId="3" xfId="0" applyNumberFormat="1" applyFont="1" applyBorder="1" applyAlignment="1">
      <alignment horizontal="right" vertical="center"/>
    </xf>
    <xf numFmtId="164" fontId="46" fillId="0" borderId="3" xfId="0" applyNumberFormat="1" applyFont="1" applyBorder="1"/>
    <xf numFmtId="164" fontId="30" fillId="5" borderId="0" xfId="0" applyNumberFormat="1" applyFont="1" applyFill="1" applyBorder="1"/>
    <xf numFmtId="164" fontId="29" fillId="0" borderId="0" xfId="0" applyNumberFormat="1" applyFont="1" applyAlignment="1"/>
    <xf numFmtId="164" fontId="14" fillId="0" borderId="3" xfId="0" applyNumberFormat="1" applyFont="1" applyBorder="1"/>
    <xf numFmtId="164" fontId="24" fillId="0" borderId="0" xfId="0" applyNumberFormat="1" applyFont="1" applyAlignment="1">
      <alignment horizontal="right" vertical="top" wrapText="1"/>
    </xf>
    <xf numFmtId="0" fontId="23" fillId="0" borderId="0" xfId="0" applyFont="1" applyAlignment="1">
      <alignment horizontal="right" vertical="center"/>
    </xf>
    <xf numFmtId="1" fontId="28" fillId="0" borderId="6" xfId="0" applyNumberFormat="1" applyFont="1" applyBorder="1" applyAlignment="1">
      <alignment horizontal="right" vertical="top"/>
    </xf>
    <xf numFmtId="164" fontId="29" fillId="0" borderId="0" xfId="0" applyNumberFormat="1" applyFont="1" applyAlignment="1">
      <alignment horizontal="right" vertical="top" wrapText="1"/>
    </xf>
    <xf numFmtId="164" fontId="29" fillId="0" borderId="0" xfId="0" applyNumberFormat="1" applyFont="1" applyBorder="1" applyAlignment="1"/>
    <xf numFmtId="164" fontId="47" fillId="6" borderId="0" xfId="0" applyNumberFormat="1" applyFont="1" applyFill="1" applyBorder="1"/>
    <xf numFmtId="164" fontId="28" fillId="0" borderId="6" xfId="0" applyNumberFormat="1" applyFont="1" applyBorder="1" applyAlignment="1">
      <alignment vertical="top"/>
    </xf>
    <xf numFmtId="164" fontId="28" fillId="0" borderId="6" xfId="0" applyNumberFormat="1" applyFont="1" applyBorder="1" applyAlignment="1">
      <alignment horizontal="right" vertical="top"/>
    </xf>
    <xf numFmtId="168" fontId="28" fillId="0" borderId="6" xfId="0" applyNumberFormat="1" applyFont="1" applyBorder="1" applyAlignment="1">
      <alignment horizontal="right" vertical="top"/>
    </xf>
    <xf numFmtId="0" fontId="23" fillId="0" borderId="0" xfId="0" applyFont="1" applyAlignment="1">
      <alignment horizontal="right"/>
    </xf>
    <xf numFmtId="169" fontId="28" fillId="0" borderId="6" xfId="0" applyNumberFormat="1" applyFont="1" applyBorder="1" applyAlignment="1">
      <alignment vertical="top"/>
    </xf>
    <xf numFmtId="164" fontId="30" fillId="4" borderId="0" xfId="0" applyNumberFormat="1" applyFont="1" applyFill="1" applyBorder="1"/>
    <xf numFmtId="0" fontId="28" fillId="0" borderId="6" xfId="0" applyFont="1" applyBorder="1" applyAlignment="1">
      <alignment vertical="top"/>
    </xf>
    <xf numFmtId="1" fontId="28" fillId="0" borderId="6" xfId="0" applyNumberFormat="1" applyFont="1" applyBorder="1" applyAlignment="1">
      <alignment vertical="top"/>
    </xf>
    <xf numFmtId="1" fontId="28" fillId="0" borderId="6" xfId="0" applyNumberFormat="1" applyFont="1" applyBorder="1" applyAlignment="1">
      <alignment vertical="center"/>
    </xf>
    <xf numFmtId="164" fontId="30" fillId="0" borderId="0" xfId="0" applyNumberFormat="1" applyFont="1"/>
    <xf numFmtId="4" fontId="28" fillId="0" borderId="6" xfId="0" applyNumberFormat="1" applyFont="1" applyBorder="1" applyAlignment="1">
      <alignment horizontal="right" vertical="top"/>
    </xf>
    <xf numFmtId="166" fontId="30" fillId="4" borderId="0" xfId="0" applyNumberFormat="1" applyFont="1" applyFill="1" applyBorder="1"/>
    <xf numFmtId="4" fontId="28" fillId="0" borderId="6" xfId="0" applyNumberFormat="1" applyFont="1" applyBorder="1" applyAlignment="1">
      <alignment vertical="top"/>
    </xf>
    <xf numFmtId="164" fontId="28" fillId="0" borderId="6" xfId="0" applyNumberFormat="1" applyFont="1" applyBorder="1" applyAlignment="1">
      <alignment vertical="top"/>
    </xf>
    <xf numFmtId="0" fontId="5" fillId="4" borderId="0" xfId="0" applyFont="1" applyFill="1" applyBorder="1"/>
    <xf numFmtId="164" fontId="41" fillId="0" borderId="0" xfId="0" applyNumberFormat="1" applyFont="1" applyAlignment="1">
      <alignment horizontal="right" vertical="center"/>
    </xf>
    <xf numFmtId="3" fontId="28" fillId="0" borderId="6" xfId="0" applyNumberFormat="1" applyFont="1" applyBorder="1" applyAlignment="1">
      <alignment vertical="top"/>
    </xf>
    <xf numFmtId="164" fontId="4" fillId="0" borderId="6" xfId="0" applyNumberFormat="1" applyFont="1" applyBorder="1" applyAlignment="1">
      <alignment horizontal="right"/>
    </xf>
    <xf numFmtId="164" fontId="29" fillId="0" borderId="0" xfId="0" applyNumberFormat="1" applyFont="1" applyAlignment="1"/>
    <xf numFmtId="0" fontId="48" fillId="0" borderId="0" xfId="0" applyFont="1"/>
    <xf numFmtId="164" fontId="3" fillId="0" borderId="0" xfId="0" applyNumberFormat="1" applyFont="1" applyBorder="1" applyAlignment="1">
      <alignment horizontal="right" vertical="top" wrapText="1"/>
    </xf>
    <xf numFmtId="164" fontId="23" fillId="0" borderId="0" xfId="0" applyNumberFormat="1" applyFont="1" applyAlignment="1">
      <alignment horizontal="right"/>
    </xf>
    <xf numFmtId="164" fontId="8" fillId="0" borderId="0" xfId="0" applyNumberFormat="1" applyFont="1" applyAlignment="1">
      <alignment horizontal="right" vertical="center" wrapText="1"/>
    </xf>
    <xf numFmtId="164" fontId="8" fillId="0" borderId="0" xfId="0" applyNumberFormat="1" applyFont="1" applyAlignment="1">
      <alignment horizontal="right" wrapText="1"/>
    </xf>
    <xf numFmtId="164" fontId="8" fillId="0" borderId="0" xfId="0" applyNumberFormat="1" applyFont="1" applyAlignment="1">
      <alignment wrapText="1"/>
    </xf>
    <xf numFmtId="0" fontId="28" fillId="0" borderId="6" xfId="0" applyFont="1" applyBorder="1" applyAlignment="1">
      <alignment vertical="center"/>
    </xf>
    <xf numFmtId="164" fontId="49" fillId="0" borderId="0" xfId="0" applyNumberFormat="1" applyFont="1" applyAlignment="1">
      <alignment horizontal="right"/>
    </xf>
    <xf numFmtId="164" fontId="50" fillId="0" borderId="0" xfId="0" applyNumberFormat="1" applyFont="1"/>
    <xf numFmtId="164" fontId="4" fillId="0" borderId="6" xfId="0" applyNumberFormat="1" applyFont="1" applyBorder="1"/>
    <xf numFmtId="164" fontId="5" fillId="7" borderId="0" xfId="0" applyNumberFormat="1" applyFont="1" applyFill="1" applyBorder="1" applyAlignment="1"/>
    <xf numFmtId="164" fontId="5" fillId="7" borderId="0" xfId="0" applyNumberFormat="1" applyFont="1" applyFill="1"/>
    <xf numFmtId="164" fontId="23" fillId="0" borderId="0" xfId="0" applyNumberFormat="1" applyFont="1"/>
    <xf numFmtId="164" fontId="51" fillId="0" borderId="0" xfId="0" applyNumberFormat="1" applyFont="1"/>
    <xf numFmtId="164" fontId="28" fillId="0" borderId="0" xfId="0" applyNumberFormat="1" applyFont="1" applyAlignment="1">
      <alignment vertical="top"/>
    </xf>
    <xf numFmtId="164" fontId="52" fillId="0" borderId="0" xfId="0" applyNumberFormat="1" applyFont="1"/>
    <xf numFmtId="164" fontId="52" fillId="0" borderId="0" xfId="0" applyNumberFormat="1" applyFont="1" applyAlignment="1"/>
    <xf numFmtId="164" fontId="53" fillId="0" borderId="0" xfId="0" applyNumberFormat="1" applyFont="1"/>
    <xf numFmtId="164" fontId="22" fillId="0" borderId="0" xfId="0" applyNumberFormat="1" applyFont="1" applyAlignment="1"/>
    <xf numFmtId="164" fontId="3" fillId="0" borderId="0" xfId="0" applyNumberFormat="1" applyFont="1" applyBorder="1"/>
    <xf numFmtId="1" fontId="28" fillId="0" borderId="6" xfId="0" applyNumberFormat="1" applyFont="1" applyBorder="1" applyAlignment="1">
      <alignment horizontal="right" vertical="center"/>
    </xf>
    <xf numFmtId="164" fontId="3" fillId="0" borderId="0" xfId="0" applyNumberFormat="1" applyFont="1" applyBorder="1" applyAlignment="1"/>
    <xf numFmtId="1" fontId="28" fillId="0" borderId="6" xfId="0" applyNumberFormat="1" applyFont="1" applyBorder="1" applyAlignment="1">
      <alignment horizontal="right" vertical="center" wrapText="1"/>
    </xf>
    <xf numFmtId="0" fontId="28" fillId="0" borderId="6" xfId="0" applyFont="1" applyBorder="1" applyAlignment="1">
      <alignment horizontal="right" vertical="center"/>
    </xf>
    <xf numFmtId="164" fontId="28" fillId="0" borderId="6" xfId="0" applyNumberFormat="1" applyFont="1" applyBorder="1"/>
    <xf numFmtId="164" fontId="5" fillId="3" borderId="0" xfId="0" applyNumberFormat="1" applyFont="1" applyFill="1"/>
    <xf numFmtId="164" fontId="34" fillId="0" borderId="0" xfId="0" applyNumberFormat="1" applyFont="1" applyBorder="1" applyAlignment="1">
      <alignment horizontal="right"/>
    </xf>
    <xf numFmtId="164" fontId="8" fillId="0" borderId="0" xfId="0" applyNumberFormat="1" applyFont="1" applyBorder="1"/>
    <xf numFmtId="0" fontId="15" fillId="0" borderId="6" xfId="0" applyFont="1" applyBorder="1" applyAlignment="1">
      <alignment horizontal="right" vertical="top" wrapText="1"/>
    </xf>
    <xf numFmtId="0" fontId="15" fillId="0" borderId="6" xfId="0" applyFont="1" applyBorder="1" applyAlignment="1">
      <alignment horizontal="right" vertical="top"/>
    </xf>
    <xf numFmtId="164" fontId="8" fillId="0" borderId="0" xfId="0" applyNumberFormat="1" applyFont="1" applyAlignment="1">
      <alignment vertical="top"/>
    </xf>
    <xf numFmtId="1" fontId="15" fillId="0" borderId="6" xfId="0" applyNumberFormat="1" applyFont="1" applyBorder="1" applyAlignment="1">
      <alignment horizontal="right" vertical="top"/>
    </xf>
    <xf numFmtId="164" fontId="5" fillId="0" borderId="0" xfId="0" applyNumberFormat="1" applyFont="1" applyAlignment="1">
      <alignment horizontal="right" vertical="top"/>
    </xf>
    <xf numFmtId="0" fontId="15" fillId="0" borderId="6" xfId="0" applyFont="1" applyBorder="1" applyAlignment="1">
      <alignment horizontal="right" vertical="top"/>
    </xf>
    <xf numFmtId="1" fontId="15" fillId="0" borderId="6" xfId="0" applyNumberFormat="1" applyFont="1" applyBorder="1" applyAlignment="1">
      <alignment horizontal="right" vertical="top"/>
    </xf>
    <xf numFmtId="164" fontId="29" fillId="0" borderId="0" xfId="0" applyNumberFormat="1" applyFont="1" applyBorder="1"/>
    <xf numFmtId="166" fontId="15" fillId="0" borderId="6" xfId="0" applyNumberFormat="1" applyFont="1" applyBorder="1" applyAlignment="1">
      <alignment horizontal="right" vertical="top"/>
    </xf>
    <xf numFmtId="167" fontId="15" fillId="0" borderId="6" xfId="0" applyNumberFormat="1" applyFont="1" applyBorder="1" applyAlignment="1">
      <alignment horizontal="right" vertical="top"/>
    </xf>
    <xf numFmtId="164" fontId="8" fillId="0" borderId="0" xfId="0" applyNumberFormat="1" applyFont="1" applyBorder="1" applyAlignment="1">
      <alignment horizontal="right" vertical="top" wrapText="1"/>
    </xf>
    <xf numFmtId="0" fontId="37" fillId="0" borderId="6" xfId="0" applyFont="1" applyBorder="1" applyAlignment="1">
      <alignment horizontal="right" vertical="top"/>
    </xf>
    <xf numFmtId="0" fontId="28" fillId="0" borderId="6" xfId="0" applyFont="1" applyBorder="1" applyAlignment="1">
      <alignment horizontal="right" vertical="center" wrapText="1"/>
    </xf>
    <xf numFmtId="0" fontId="28" fillId="0" borderId="6" xfId="0" applyFont="1" applyBorder="1" applyAlignment="1">
      <alignment horizontal="right" vertical="top"/>
    </xf>
    <xf numFmtId="0" fontId="28" fillId="0" borderId="0" xfId="0" applyFont="1" applyAlignment="1">
      <alignment vertical="top"/>
    </xf>
    <xf numFmtId="170" fontId="28" fillId="0" borderId="0" xfId="0" applyNumberFormat="1" applyFont="1" applyAlignment="1">
      <alignment vertical="top"/>
    </xf>
    <xf numFmtId="1" fontId="28" fillId="0" borderId="0" xfId="0" applyNumberFormat="1" applyFont="1" applyAlignment="1">
      <alignment vertical="top"/>
    </xf>
    <xf numFmtId="167" fontId="15" fillId="0" borderId="6" xfId="0" applyNumberFormat="1" applyFont="1" applyBorder="1" applyAlignment="1">
      <alignment horizontal="right" vertical="center"/>
    </xf>
    <xf numFmtId="169" fontId="28" fillId="0" borderId="6" xfId="0" applyNumberFormat="1" applyFont="1" applyBorder="1" applyAlignment="1">
      <alignment horizontal="right" vertical="top"/>
    </xf>
    <xf numFmtId="3" fontId="28" fillId="0" borderId="6" xfId="0" applyNumberFormat="1" applyFont="1" applyBorder="1" applyAlignment="1">
      <alignment horizontal="right" vertical="top"/>
    </xf>
    <xf numFmtId="3" fontId="28" fillId="0" borderId="0" xfId="0" applyNumberFormat="1" applyFont="1" applyAlignment="1">
      <alignment horizontal="right" vertical="top"/>
    </xf>
    <xf numFmtId="1" fontId="28" fillId="0" borderId="6" xfId="0" applyNumberFormat="1" applyFont="1" applyBorder="1" applyAlignment="1">
      <alignment horizontal="right" vertical="center"/>
    </xf>
    <xf numFmtId="164" fontId="3" fillId="3" borderId="0" xfId="0" applyNumberFormat="1" applyFont="1" applyFill="1" applyBorder="1" applyAlignment="1">
      <alignment horizontal="right" vertical="top" wrapText="1"/>
    </xf>
    <xf numFmtId="167" fontId="28" fillId="0" borderId="0" xfId="0" applyNumberFormat="1" applyFont="1" applyAlignment="1">
      <alignment vertical="top"/>
    </xf>
    <xf numFmtId="2" fontId="28" fillId="0" borderId="6" xfId="0" applyNumberFormat="1" applyFont="1" applyBorder="1" applyAlignment="1">
      <alignment vertical="top"/>
    </xf>
    <xf numFmtId="164" fontId="13" fillId="0" borderId="0" xfId="0" applyNumberFormat="1" applyFont="1" applyBorder="1" applyAlignment="1">
      <alignment horizontal="right" vertical="top" wrapText="1"/>
    </xf>
    <xf numFmtId="164" fontId="3" fillId="3" borderId="0" xfId="0" applyNumberFormat="1" applyFont="1" applyFill="1" applyBorder="1" applyAlignment="1">
      <alignment horizontal="right" vertical="top" wrapText="1"/>
    </xf>
    <xf numFmtId="164" fontId="13" fillId="0" borderId="0" xfId="0" applyNumberFormat="1" applyFont="1" applyAlignment="1">
      <alignment horizontal="right" vertical="top" wrapText="1"/>
    </xf>
    <xf numFmtId="164" fontId="46" fillId="0" borderId="0" xfId="0" applyNumberFormat="1" applyFont="1"/>
    <xf numFmtId="2" fontId="4" fillId="0" borderId="0" xfId="0" applyNumberFormat="1" applyFont="1" applyAlignment="1">
      <alignment horizontal="right" vertical="top" wrapText="1"/>
    </xf>
    <xf numFmtId="164" fontId="5" fillId="3" borderId="0" xfId="0" applyNumberFormat="1" applyFont="1" applyFill="1" applyAlignment="1">
      <alignment horizontal="right"/>
    </xf>
    <xf numFmtId="1" fontId="4" fillId="0" borderId="0" xfId="0" applyNumberFormat="1" applyFont="1" applyAlignment="1">
      <alignment horizontal="right" vertical="top" wrapText="1"/>
    </xf>
    <xf numFmtId="2" fontId="28" fillId="0" borderId="6" xfId="0" applyNumberFormat="1" applyFont="1" applyBorder="1" applyAlignment="1">
      <alignment vertical="top"/>
    </xf>
    <xf numFmtId="0" fontId="42" fillId="0" borderId="0" xfId="0" applyFont="1" applyAlignment="1">
      <alignment horizontal="right" vertical="top" wrapText="1"/>
    </xf>
    <xf numFmtId="0" fontId="34" fillId="0" borderId="0" xfId="0" applyFont="1"/>
    <xf numFmtId="0" fontId="3" fillId="0" borderId="0" xfId="0" applyFont="1" applyAlignment="1">
      <alignment vertical="top" wrapText="1"/>
    </xf>
    <xf numFmtId="164" fontId="10" fillId="0" borderId="0" xfId="0" applyNumberFormat="1" applyFont="1" applyBorder="1" applyAlignment="1">
      <alignment horizontal="right" vertical="top" wrapText="1"/>
    </xf>
    <xf numFmtId="0" fontId="24" fillId="0" borderId="4" xfId="0" applyFont="1" applyBorder="1" applyAlignment="1">
      <alignment horizontal="right"/>
    </xf>
    <xf numFmtId="0" fontId="28" fillId="0" borderId="0" xfId="0" applyFont="1" applyAlignment="1">
      <alignment horizontal="right" vertical="top"/>
    </xf>
    <xf numFmtId="164" fontId="4" fillId="3" borderId="0" xfId="0" applyNumberFormat="1" applyFont="1" applyFill="1" applyAlignment="1">
      <alignment vertical="top" wrapText="1"/>
    </xf>
    <xf numFmtId="0" fontId="28" fillId="0" borderId="6" xfId="0" applyFont="1" applyBorder="1" applyAlignment="1">
      <alignment horizontal="right" vertical="top"/>
    </xf>
    <xf numFmtId="0" fontId="5" fillId="0" borderId="4" xfId="0" applyFont="1" applyBorder="1" applyAlignment="1">
      <alignment horizontal="right"/>
    </xf>
    <xf numFmtId="0" fontId="28" fillId="0" borderId="6" xfId="0" applyFont="1" applyBorder="1" applyAlignment="1">
      <alignment horizontal="left" vertical="center"/>
    </xf>
    <xf numFmtId="164" fontId="24" fillId="0" borderId="7" xfId="0" applyNumberFormat="1" applyFont="1" applyBorder="1" applyAlignment="1"/>
    <xf numFmtId="164" fontId="28" fillId="0" borderId="6" xfId="0" applyNumberFormat="1" applyFont="1" applyBorder="1" applyAlignment="1">
      <alignment horizontal="right" vertical="center"/>
    </xf>
    <xf numFmtId="164" fontId="34" fillId="0" borderId="0" xfId="0" applyNumberFormat="1" applyFont="1" applyAlignment="1">
      <alignment horizontal="right"/>
    </xf>
    <xf numFmtId="164" fontId="24" fillId="0" borderId="7" xfId="0" applyNumberFormat="1" applyFont="1" applyBorder="1" applyAlignment="1">
      <alignment horizontal="right"/>
    </xf>
    <xf numFmtId="164" fontId="4" fillId="0" borderId="0" xfId="0" applyNumberFormat="1" applyFont="1" applyBorder="1" applyAlignment="1">
      <alignment horizontal="right" wrapText="1"/>
    </xf>
    <xf numFmtId="164" fontId="28" fillId="0" borderId="0" xfId="0" applyNumberFormat="1" applyFont="1" applyAlignment="1">
      <alignment vertical="top"/>
    </xf>
    <xf numFmtId="3" fontId="28" fillId="0" borderId="6" xfId="0" applyNumberFormat="1" applyFont="1" applyBorder="1" applyAlignment="1">
      <alignment horizontal="right" vertical="center"/>
    </xf>
    <xf numFmtId="164" fontId="22" fillId="0" borderId="3" xfId="0" applyNumberFormat="1" applyFont="1" applyBorder="1" applyAlignment="1">
      <alignment horizontal="left" vertical="center"/>
    </xf>
    <xf numFmtId="164" fontId="22" fillId="0" borderId="3" xfId="0" applyNumberFormat="1" applyFont="1" applyBorder="1" applyAlignment="1">
      <alignment horizontal="right" vertical="center"/>
    </xf>
    <xf numFmtId="167" fontId="28" fillId="0" borderId="0" xfId="0" applyNumberFormat="1" applyFont="1" applyAlignment="1">
      <alignment vertical="top"/>
    </xf>
    <xf numFmtId="164" fontId="24" fillId="0" borderId="7" xfId="0" applyNumberFormat="1" applyFont="1" applyBorder="1" applyAlignment="1">
      <alignment horizontal="right"/>
    </xf>
    <xf numFmtId="164" fontId="5" fillId="0" borderId="7" xfId="0" applyNumberFormat="1" applyFont="1" applyBorder="1"/>
    <xf numFmtId="164" fontId="54" fillId="0" borderId="0" xfId="0" applyNumberFormat="1" applyFont="1" applyAlignment="1">
      <alignment horizontal="right" vertical="top"/>
    </xf>
    <xf numFmtId="169" fontId="28" fillId="0" borderId="6" xfId="0" applyNumberFormat="1" applyFont="1" applyBorder="1" applyAlignment="1">
      <alignment horizontal="right" vertical="top"/>
    </xf>
    <xf numFmtId="164" fontId="23" fillId="0" borderId="0" xfId="0" applyNumberFormat="1" applyFont="1" applyAlignment="1">
      <alignment vertical="top"/>
    </xf>
    <xf numFmtId="0" fontId="28" fillId="0" borderId="6" xfId="0" applyFont="1" applyBorder="1" applyAlignment="1">
      <alignment horizontal="right" vertical="center" wrapText="1"/>
    </xf>
    <xf numFmtId="164" fontId="24" fillId="0" borderId="0" xfId="0" applyNumberFormat="1" applyFont="1" applyBorder="1" applyAlignment="1">
      <alignment horizontal="right" vertical="center"/>
    </xf>
    <xf numFmtId="164" fontId="55" fillId="0" borderId="0" xfId="0" applyNumberFormat="1" applyFont="1"/>
    <xf numFmtId="0" fontId="16" fillId="0" borderId="0" xfId="0" applyFont="1" applyAlignment="1">
      <alignment horizontal="right" vertical="top"/>
    </xf>
    <xf numFmtId="164" fontId="29" fillId="0" borderId="0" xfId="0" applyNumberFormat="1" applyFont="1" applyAlignment="1">
      <alignment horizontal="right" vertical="center"/>
    </xf>
    <xf numFmtId="164" fontId="29" fillId="0" borderId="0" xfId="0" applyNumberFormat="1" applyFont="1" applyBorder="1" applyAlignment="1">
      <alignment horizontal="right" vertical="center"/>
    </xf>
    <xf numFmtId="165" fontId="28" fillId="0" borderId="6" xfId="0" applyNumberFormat="1" applyFont="1" applyBorder="1" applyAlignment="1">
      <alignment horizontal="right" vertical="center"/>
    </xf>
    <xf numFmtId="167" fontId="24" fillId="0" borderId="0" xfId="0" applyNumberFormat="1" applyFont="1" applyAlignment="1"/>
    <xf numFmtId="0" fontId="4" fillId="0" borderId="0" xfId="0" applyFont="1" applyAlignment="1">
      <alignment horizontal="right"/>
    </xf>
    <xf numFmtId="164" fontId="24" fillId="0" borderId="0" xfId="0" applyNumberFormat="1" applyFont="1" applyAlignment="1"/>
    <xf numFmtId="164" fontId="48" fillId="0" borderId="0" xfId="0" applyNumberFormat="1" applyFont="1"/>
    <xf numFmtId="164" fontId="33" fillId="0" borderId="0" xfId="0" applyNumberFormat="1" applyFont="1" applyAlignment="1">
      <alignment horizontal="right" vertical="top"/>
    </xf>
    <xf numFmtId="164" fontId="29" fillId="0" borderId="8" xfId="0" applyNumberFormat="1" applyFont="1" applyBorder="1" applyAlignment="1">
      <alignment horizontal="right" vertical="center"/>
    </xf>
    <xf numFmtId="164" fontId="5" fillId="0" borderId="6" xfId="0" applyNumberFormat="1" applyFont="1" applyBorder="1"/>
    <xf numFmtId="164" fontId="24" fillId="0" borderId="6" xfId="0" applyNumberFormat="1" applyFont="1" applyBorder="1"/>
    <xf numFmtId="167" fontId="41" fillId="0" borderId="0" xfId="0" applyNumberFormat="1" applyFont="1" applyAlignment="1">
      <alignment vertical="top"/>
    </xf>
    <xf numFmtId="164" fontId="24" fillId="0" borderId="6" xfId="0" applyNumberFormat="1" applyFont="1" applyBorder="1" applyAlignment="1">
      <alignment vertical="center"/>
    </xf>
    <xf numFmtId="164" fontId="41" fillId="0" borderId="0" xfId="0" applyNumberFormat="1" applyFont="1" applyAlignment="1">
      <alignment vertical="top"/>
    </xf>
    <xf numFmtId="0" fontId="42" fillId="0" borderId="0" xfId="0" applyFont="1" applyAlignment="1">
      <alignment horizontal="right"/>
    </xf>
    <xf numFmtId="164" fontId="24" fillId="0" borderId="7" xfId="0" applyNumberFormat="1" applyFont="1" applyBorder="1"/>
    <xf numFmtId="164" fontId="30" fillId="0" borderId="0" xfId="0" applyNumberFormat="1" applyFont="1" applyAlignment="1">
      <alignment horizontal="right"/>
    </xf>
    <xf numFmtId="164" fontId="41" fillId="0" borderId="6" xfId="0" applyNumberFormat="1" applyFont="1" applyBorder="1" applyAlignment="1">
      <alignment vertical="top"/>
    </xf>
    <xf numFmtId="2" fontId="28" fillId="0" borderId="0" xfId="0" applyNumberFormat="1" applyFont="1"/>
    <xf numFmtId="0" fontId="15" fillId="0" borderId="6" xfId="0" applyFont="1" applyBorder="1" applyAlignment="1">
      <alignment horizontal="right" vertical="center"/>
    </xf>
    <xf numFmtId="3" fontId="28" fillId="0" borderId="6" xfId="0" applyNumberFormat="1" applyFont="1" applyBorder="1" applyAlignment="1">
      <alignment horizontal="right" vertical="top"/>
    </xf>
    <xf numFmtId="164" fontId="56" fillId="0" borderId="0" xfId="0" applyNumberFormat="1" applyFont="1" applyAlignment="1">
      <alignment horizontal="right"/>
    </xf>
    <xf numFmtId="1" fontId="28" fillId="0" borderId="6" xfId="0" applyNumberFormat="1" applyFont="1" applyBorder="1" applyAlignment="1">
      <alignment horizontal="right" vertical="center" wrapText="1"/>
    </xf>
    <xf numFmtId="164" fontId="24" fillId="0" borderId="4" xfId="0" applyNumberFormat="1" applyFont="1" applyBorder="1" applyAlignment="1"/>
    <xf numFmtId="164" fontId="3" fillId="0" borderId="0" xfId="0" applyNumberFormat="1" applyFont="1" applyBorder="1" applyAlignment="1">
      <alignment horizontal="right" wrapText="1"/>
    </xf>
    <xf numFmtId="1" fontId="24" fillId="0" borderId="4" xfId="0" applyNumberFormat="1" applyFont="1" applyBorder="1"/>
    <xf numFmtId="1" fontId="28" fillId="0" borderId="6" xfId="0" applyNumberFormat="1" applyFont="1" applyBorder="1" applyAlignment="1">
      <alignment horizontal="right" vertical="top"/>
    </xf>
    <xf numFmtId="164" fontId="57" fillId="0" borderId="0" xfId="0" applyNumberFormat="1" applyFont="1"/>
    <xf numFmtId="1" fontId="30" fillId="0" borderId="0" xfId="0" applyNumberFormat="1" applyFont="1" applyAlignment="1">
      <alignment horizontal="right"/>
    </xf>
    <xf numFmtId="165" fontId="28" fillId="0" borderId="6" xfId="0" applyNumberFormat="1" applyFont="1" applyBorder="1" applyAlignment="1">
      <alignment horizontal="right" vertical="top"/>
    </xf>
    <xf numFmtId="164" fontId="5" fillId="0" borderId="4" xfId="0" applyNumberFormat="1" applyFont="1" applyBorder="1"/>
    <xf numFmtId="164" fontId="24" fillId="0" borderId="7" xfId="0" applyNumberFormat="1" applyFont="1" applyBorder="1" applyAlignment="1">
      <alignment horizontal="left"/>
    </xf>
    <xf numFmtId="0" fontId="15" fillId="0" borderId="6" xfId="0" applyFont="1" applyBorder="1" applyAlignment="1">
      <alignment horizontal="right" vertical="center" wrapText="1"/>
    </xf>
    <xf numFmtId="3" fontId="28" fillId="0" borderId="0" xfId="0" applyNumberFormat="1" applyFont="1" applyAlignment="1">
      <alignment horizontal="right" vertical="top"/>
    </xf>
    <xf numFmtId="164" fontId="28" fillId="0" borderId="0" xfId="0" applyNumberFormat="1" applyFont="1" applyAlignment="1">
      <alignment vertical="top"/>
    </xf>
    <xf numFmtId="1" fontId="28" fillId="0" borderId="0" xfId="0" applyNumberFormat="1" applyFont="1" applyAlignment="1">
      <alignment horizontal="right" vertical="top"/>
    </xf>
    <xf numFmtId="1" fontId="15" fillId="0" borderId="6" xfId="0" applyNumberFormat="1" applyFont="1" applyBorder="1" applyAlignment="1">
      <alignment horizontal="right" vertical="center"/>
    </xf>
    <xf numFmtId="164" fontId="22" fillId="0" borderId="9" xfId="0" applyNumberFormat="1" applyFont="1" applyBorder="1" applyAlignment="1">
      <alignment horizontal="left" vertical="center"/>
    </xf>
    <xf numFmtId="164" fontId="24" fillId="0" borderId="0" xfId="0" applyNumberFormat="1" applyFont="1" applyAlignment="1">
      <alignment horizontal="left"/>
    </xf>
    <xf numFmtId="164" fontId="28" fillId="0" borderId="0" xfId="0" applyNumberFormat="1" applyFont="1" applyAlignment="1">
      <alignment horizontal="right" vertical="top"/>
    </xf>
    <xf numFmtId="1" fontId="28" fillId="0" borderId="0" xfId="0" applyNumberFormat="1" applyFont="1" applyAlignment="1">
      <alignment vertical="top"/>
    </xf>
    <xf numFmtId="164" fontId="24" fillId="0" borderId="0" xfId="0" applyNumberFormat="1" applyFont="1" applyAlignment="1">
      <alignment horizontal="left"/>
    </xf>
    <xf numFmtId="164" fontId="3" fillId="0" borderId="0" xfId="0" applyNumberFormat="1" applyFont="1" applyBorder="1" applyAlignment="1">
      <alignment horizontal="right"/>
    </xf>
    <xf numFmtId="0" fontId="28" fillId="0" borderId="0" xfId="0" applyFont="1" applyAlignment="1">
      <alignment vertical="top"/>
    </xf>
    <xf numFmtId="164" fontId="29" fillId="0" borderId="0" xfId="0" applyNumberFormat="1" applyFont="1" applyAlignment="1">
      <alignment horizontal="right"/>
    </xf>
    <xf numFmtId="164" fontId="29" fillId="0" borderId="0" xfId="0" applyNumberFormat="1" applyFont="1" applyAlignment="1">
      <alignment horizontal="right"/>
    </xf>
    <xf numFmtId="164" fontId="34" fillId="0" borderId="0" xfId="0" applyNumberFormat="1" applyFont="1" applyAlignment="1">
      <alignment horizontal="right"/>
    </xf>
    <xf numFmtId="164" fontId="27" fillId="3" borderId="0" xfId="0" applyNumberFormat="1" applyFont="1" applyFill="1" applyAlignment="1">
      <alignment horizontal="left"/>
    </xf>
    <xf numFmtId="0" fontId="28" fillId="0" borderId="6" xfId="0" applyFont="1" applyBorder="1" applyAlignment="1">
      <alignment vertical="top"/>
    </xf>
    <xf numFmtId="164" fontId="48" fillId="7" borderId="0" xfId="0" applyNumberFormat="1" applyFont="1" applyFill="1" applyBorder="1" applyAlignment="1">
      <alignment wrapText="1"/>
    </xf>
    <xf numFmtId="2" fontId="28" fillId="0" borderId="6" xfId="0" applyNumberFormat="1" applyFont="1" applyBorder="1" applyAlignment="1">
      <alignment horizontal="right" vertical="top"/>
    </xf>
    <xf numFmtId="164" fontId="8" fillId="7" borderId="0" xfId="0" applyNumberFormat="1" applyFont="1" applyFill="1" applyBorder="1"/>
    <xf numFmtId="164" fontId="34" fillId="0" borderId="0" xfId="0" applyNumberFormat="1" applyFont="1" applyBorder="1" applyAlignment="1"/>
    <xf numFmtId="164" fontId="37" fillId="0" borderId="0" xfId="0" applyNumberFormat="1" applyFont="1"/>
    <xf numFmtId="166" fontId="5" fillId="0" borderId="0" xfId="0" applyNumberFormat="1" applyFont="1"/>
    <xf numFmtId="164" fontId="57" fillId="0" borderId="0" xfId="0" applyNumberFormat="1" applyFont="1" applyAlignment="1"/>
    <xf numFmtId="164" fontId="24" fillId="0" borderId="8" xfId="0" applyNumberFormat="1" applyFont="1" applyBorder="1" applyAlignment="1">
      <alignment horizontal="left"/>
    </xf>
    <xf numFmtId="164" fontId="23" fillId="0" borderId="0" xfId="0" applyNumberFormat="1" applyFont="1" applyAlignment="1">
      <alignment horizontal="left"/>
    </xf>
    <xf numFmtId="164" fontId="3" fillId="0" borderId="0" xfId="0" applyNumberFormat="1" applyFont="1" applyAlignment="1">
      <alignment horizontal="left"/>
    </xf>
    <xf numFmtId="164" fontId="29" fillId="0" borderId="7" xfId="0" applyNumberFormat="1" applyFont="1" applyBorder="1"/>
    <xf numFmtId="0" fontId="41" fillId="0" borderId="0" xfId="0" applyFont="1"/>
    <xf numFmtId="1" fontId="28" fillId="0" borderId="6" xfId="0" applyNumberFormat="1" applyFont="1" applyBorder="1" applyAlignment="1">
      <alignment wrapText="1"/>
    </xf>
    <xf numFmtId="164" fontId="29" fillId="0" borderId="7" xfId="0" applyNumberFormat="1" applyFont="1" applyBorder="1"/>
    <xf numFmtId="164" fontId="24" fillId="0" borderId="4" xfId="0" applyNumberFormat="1" applyFont="1" applyBorder="1"/>
    <xf numFmtId="0" fontId="58" fillId="0" borderId="0" xfId="0" applyFont="1"/>
    <xf numFmtId="164" fontId="6" fillId="0" borderId="3" xfId="0" applyNumberFormat="1" applyFont="1" applyBorder="1" applyAlignment="1">
      <alignment horizontal="right" vertical="center"/>
    </xf>
    <xf numFmtId="4" fontId="24" fillId="0" borderId="7" xfId="0" applyNumberFormat="1" applyFont="1" applyBorder="1"/>
    <xf numFmtId="3" fontId="13" fillId="0" borderId="0" xfId="0" applyNumberFormat="1" applyFont="1"/>
    <xf numFmtId="0" fontId="24" fillId="0" borderId="0" xfId="0" applyFont="1" applyAlignment="1">
      <alignment horizontal="right"/>
    </xf>
    <xf numFmtId="0" fontId="23" fillId="0" borderId="0" xfId="0" applyFont="1" applyAlignment="1">
      <alignment horizontal="right" vertical="top"/>
    </xf>
    <xf numFmtId="0" fontId="4" fillId="0" borderId="6" xfId="0" applyFont="1" applyBorder="1"/>
    <xf numFmtId="0" fontId="8" fillId="0" borderId="0" xfId="0" applyFont="1" applyAlignment="1">
      <alignment horizontal="center" vertical="top" wrapText="1"/>
    </xf>
    <xf numFmtId="4" fontId="24" fillId="0" borderId="7" xfId="0" applyNumberFormat="1" applyFont="1" applyBorder="1"/>
    <xf numFmtId="4" fontId="24" fillId="0" borderId="0" xfId="0" applyNumberFormat="1" applyFont="1" applyAlignment="1">
      <alignment horizontal="right" vertical="center"/>
    </xf>
    <xf numFmtId="164" fontId="5" fillId="7" borderId="0" xfId="0" applyNumberFormat="1" applyFont="1" applyFill="1" applyAlignment="1"/>
    <xf numFmtId="0" fontId="15" fillId="0" borderId="6" xfId="0" applyFont="1" applyBorder="1" applyAlignment="1"/>
    <xf numFmtId="4" fontId="24" fillId="0" borderId="0" xfId="0" applyNumberFormat="1" applyFont="1" applyBorder="1" applyAlignment="1">
      <alignment horizontal="right" vertical="center"/>
    </xf>
    <xf numFmtId="1" fontId="28" fillId="0" borderId="6" xfId="0" applyNumberFormat="1" applyFont="1" applyBorder="1" applyAlignment="1">
      <alignment horizontal="center"/>
    </xf>
    <xf numFmtId="4" fontId="24" fillId="0" borderId="0" xfId="0" applyNumberFormat="1" applyFont="1"/>
    <xf numFmtId="0" fontId="58" fillId="0" borderId="0" xfId="0" applyFont="1" applyAlignment="1"/>
    <xf numFmtId="1" fontId="59" fillId="0" borderId="6" xfId="0" applyNumberFormat="1" applyFont="1" applyBorder="1" applyAlignment="1">
      <alignment horizontal="right" vertical="center"/>
    </xf>
    <xf numFmtId="1" fontId="59" fillId="0" borderId="6" xfId="0" applyNumberFormat="1" applyFont="1" applyBorder="1" applyAlignment="1">
      <alignment horizontal="center"/>
    </xf>
    <xf numFmtId="0" fontId="41" fillId="0" borderId="0" xfId="0" applyFont="1"/>
    <xf numFmtId="1" fontId="60" fillId="0" borderId="6" xfId="0" applyNumberFormat="1" applyFont="1" applyBorder="1" applyAlignment="1">
      <alignment horizontal="center"/>
    </xf>
    <xf numFmtId="164" fontId="8" fillId="0" borderId="0" xfId="0" applyNumberFormat="1" applyFont="1" applyAlignment="1">
      <alignment vertical="top"/>
    </xf>
    <xf numFmtId="164" fontId="60" fillId="0" borderId="0" xfId="0" applyNumberFormat="1" applyFont="1" applyAlignment="1">
      <alignment vertical="top" wrapText="1"/>
    </xf>
    <xf numFmtId="167" fontId="28" fillId="0" borderId="6" xfId="0" applyNumberFormat="1" applyFont="1" applyBorder="1" applyAlignment="1">
      <alignment horizontal="right" vertical="center"/>
    </xf>
    <xf numFmtId="4" fontId="24" fillId="0" borderId="0" xfId="0" applyNumberFormat="1" applyFont="1" applyBorder="1"/>
    <xf numFmtId="167" fontId="8" fillId="0" borderId="0" xfId="0" applyNumberFormat="1" applyFont="1"/>
    <xf numFmtId="167" fontId="8" fillId="0" borderId="0" xfId="0" applyNumberFormat="1" applyFont="1" applyAlignment="1">
      <alignment horizontal="right"/>
    </xf>
    <xf numFmtId="167" fontId="28" fillId="0" borderId="6" xfId="0" applyNumberFormat="1" applyFont="1" applyBorder="1" applyAlignment="1">
      <alignment vertical="center"/>
    </xf>
    <xf numFmtId="167" fontId="28" fillId="0" borderId="6" xfId="0" applyNumberFormat="1" applyFont="1" applyBorder="1" applyAlignment="1">
      <alignment horizontal="right" vertical="center"/>
    </xf>
    <xf numFmtId="164" fontId="53" fillId="0" borderId="0" xfId="0" applyNumberFormat="1" applyFont="1" applyAlignment="1"/>
    <xf numFmtId="164" fontId="28" fillId="0" borderId="6" xfId="0" applyNumberFormat="1" applyFont="1" applyBorder="1" applyAlignment="1">
      <alignment horizontal="right" vertical="center"/>
    </xf>
    <xf numFmtId="4" fontId="29" fillId="0" borderId="8" xfId="0" applyNumberFormat="1" applyFont="1" applyBorder="1" applyAlignment="1">
      <alignment horizontal="right" vertical="center"/>
    </xf>
    <xf numFmtId="164" fontId="41" fillId="0" borderId="6" xfId="0" applyNumberFormat="1" applyFont="1" applyBorder="1" applyAlignment="1">
      <alignment horizontal="right" vertical="top"/>
    </xf>
    <xf numFmtId="4" fontId="29" fillId="0" borderId="8" xfId="0" applyNumberFormat="1" applyFont="1" applyBorder="1" applyAlignment="1">
      <alignment horizontal="right" vertical="center"/>
    </xf>
    <xf numFmtId="0" fontId="41" fillId="0" borderId="6" xfId="0" applyFont="1" applyBorder="1" applyAlignment="1">
      <alignment vertical="top"/>
    </xf>
    <xf numFmtId="164" fontId="8" fillId="0" borderId="0" xfId="0" applyNumberFormat="1" applyFont="1" applyAlignment="1">
      <alignment horizontal="right" vertical="center"/>
    </xf>
    <xf numFmtId="167" fontId="41" fillId="0" borderId="6" xfId="0" applyNumberFormat="1" applyFont="1" applyBorder="1" applyAlignment="1">
      <alignment horizontal="right" vertical="top"/>
    </xf>
    <xf numFmtId="167" fontId="28" fillId="0" borderId="6" xfId="0" applyNumberFormat="1" applyFont="1" applyBorder="1"/>
    <xf numFmtId="164" fontId="28" fillId="0" borderId="6" xfId="0" applyNumberFormat="1" applyFont="1" applyBorder="1" applyAlignment="1">
      <alignment vertical="center"/>
    </xf>
    <xf numFmtId="164" fontId="61" fillId="0" borderId="6" xfId="0" applyNumberFormat="1" applyFont="1" applyBorder="1" applyAlignment="1">
      <alignment vertical="top"/>
    </xf>
    <xf numFmtId="164" fontId="8" fillId="0" borderId="0" xfId="0" applyNumberFormat="1" applyFont="1" applyAlignment="1"/>
    <xf numFmtId="0" fontId="28" fillId="0" borderId="6" xfId="0" applyFont="1" applyBorder="1" applyAlignment="1">
      <alignment horizontal="center"/>
    </xf>
    <xf numFmtId="164" fontId="24" fillId="0" borderId="0" xfId="0" applyNumberFormat="1" applyFont="1" applyBorder="1" applyAlignment="1">
      <alignment horizontal="right"/>
    </xf>
    <xf numFmtId="164" fontId="41" fillId="0" borderId="0" xfId="0" applyNumberFormat="1" applyFont="1" applyAlignment="1">
      <alignment horizontal="right"/>
    </xf>
    <xf numFmtId="164" fontId="28" fillId="0" borderId="0" xfId="0" applyNumberFormat="1" applyFont="1" applyAlignment="1"/>
    <xf numFmtId="164" fontId="41" fillId="0" borderId="0" xfId="0" applyNumberFormat="1" applyFont="1" applyAlignment="1">
      <alignment vertical="top" wrapText="1"/>
    </xf>
    <xf numFmtId="164" fontId="41" fillId="0" borderId="0" xfId="0" applyNumberFormat="1" applyFont="1" applyAlignment="1"/>
    <xf numFmtId="164" fontId="4" fillId="0" borderId="0" xfId="0" applyNumberFormat="1" applyFont="1" applyAlignment="1"/>
    <xf numFmtId="169" fontId="28" fillId="0" borderId="6" xfId="0" applyNumberFormat="1" applyFont="1" applyBorder="1" applyAlignment="1">
      <alignment horizontal="right"/>
    </xf>
    <xf numFmtId="1" fontId="28" fillId="0" borderId="6" xfId="0" applyNumberFormat="1" applyFont="1" applyBorder="1" applyAlignment="1">
      <alignment horizontal="right"/>
    </xf>
    <xf numFmtId="164" fontId="28" fillId="0" borderId="0" xfId="0" applyNumberFormat="1" applyFont="1"/>
    <xf numFmtId="164" fontId="24" fillId="0" borderId="0" xfId="0" applyNumberFormat="1" applyFont="1" applyBorder="1" applyAlignment="1">
      <alignment vertical="top" wrapText="1"/>
    </xf>
    <xf numFmtId="170" fontId="28" fillId="0" borderId="6" xfId="0" applyNumberFormat="1" applyFont="1" applyBorder="1"/>
    <xf numFmtId="0" fontId="28" fillId="0" borderId="6" xfId="0" applyFont="1" applyBorder="1" applyAlignment="1"/>
    <xf numFmtId="164" fontId="8" fillId="0" borderId="0" xfId="0" applyNumberFormat="1" applyFont="1" applyAlignment="1">
      <alignment horizontal="left"/>
    </xf>
    <xf numFmtId="0" fontId="41" fillId="0" borderId="0" xfId="0" applyFont="1" applyAlignment="1"/>
    <xf numFmtId="164" fontId="24" fillId="0" borderId="7" xfId="0" applyNumberFormat="1" applyFont="1" applyBorder="1"/>
    <xf numFmtId="0" fontId="28" fillId="0" borderId="0" xfId="0" applyFont="1"/>
    <xf numFmtId="167" fontId="28" fillId="0" borderId="0" xfId="0" applyNumberFormat="1" applyFont="1"/>
    <xf numFmtId="1" fontId="28" fillId="0" borderId="0" xfId="0" applyNumberFormat="1" applyFont="1"/>
    <xf numFmtId="164" fontId="23" fillId="0" borderId="0" xfId="0" applyNumberFormat="1" applyFont="1" applyAlignment="1"/>
    <xf numFmtId="0" fontId="62" fillId="0" borderId="0" xfId="0" applyFont="1"/>
    <xf numFmtId="0" fontId="62" fillId="0" borderId="0" xfId="0" applyFont="1" applyAlignment="1">
      <alignment horizontal="center"/>
    </xf>
    <xf numFmtId="0" fontId="23" fillId="0" borderId="0" xfId="0" applyFont="1" applyAlignment="1">
      <alignment horizontal="center"/>
    </xf>
    <xf numFmtId="0" fontId="63" fillId="0" borderId="0" xfId="0" applyFont="1" applyAlignment="1">
      <alignment horizontal="center"/>
    </xf>
    <xf numFmtId="0" fontId="11" fillId="0" borderId="0" xfId="0" applyFont="1" applyAlignment="1">
      <alignment horizontal="center"/>
    </xf>
    <xf numFmtId="164" fontId="64" fillId="0" borderId="0" xfId="0" applyNumberFormat="1" applyFont="1" applyAlignment="1">
      <alignment horizontal="left" vertical="center"/>
    </xf>
    <xf numFmtId="164" fontId="64" fillId="0" borderId="0" xfId="0" applyNumberFormat="1" applyFont="1" applyAlignment="1">
      <alignment vertical="center"/>
    </xf>
    <xf numFmtId="3" fontId="64" fillId="0" borderId="0" xfId="0" applyNumberFormat="1" applyFont="1" applyAlignment="1">
      <alignment vertical="center"/>
    </xf>
    <xf numFmtId="164" fontId="5" fillId="0" borderId="0" xfId="0" applyNumberFormat="1" applyFont="1" applyAlignment="1">
      <alignment horizontal="left"/>
    </xf>
    <xf numFmtId="3" fontId="64" fillId="0" borderId="0" xfId="0" applyNumberFormat="1" applyFont="1" applyAlignment="1">
      <alignment vertical="top"/>
    </xf>
    <xf numFmtId="1" fontId="64" fillId="0" borderId="6" xfId="0" applyNumberFormat="1" applyFont="1" applyBorder="1" applyAlignment="1">
      <alignment vertical="center"/>
    </xf>
    <xf numFmtId="164" fontId="23" fillId="0" borderId="0" xfId="0" applyNumberFormat="1" applyFont="1" applyAlignment="1">
      <alignment horizontal="left" vertical="center"/>
    </xf>
    <xf numFmtId="3" fontId="64" fillId="0" borderId="6" xfId="0" applyNumberFormat="1" applyFont="1" applyBorder="1" applyAlignment="1">
      <alignment vertical="center"/>
    </xf>
    <xf numFmtId="164" fontId="22" fillId="0" borderId="10" xfId="0" applyNumberFormat="1" applyFont="1" applyBorder="1" applyAlignment="1">
      <alignment horizontal="left" vertical="center"/>
    </xf>
    <xf numFmtId="164" fontId="24" fillId="0" borderId="10" xfId="0" applyNumberFormat="1" applyFont="1" applyBorder="1"/>
    <xf numFmtId="164" fontId="64" fillId="0" borderId="0" xfId="0" applyNumberFormat="1" applyFont="1" applyAlignment="1">
      <alignment horizontal="left" vertical="center"/>
    </xf>
    <xf numFmtId="164" fontId="5" fillId="0" borderId="10" xfId="0" applyNumberFormat="1" applyFont="1" applyBorder="1"/>
    <xf numFmtId="164" fontId="23" fillId="0" borderId="11" xfId="0" applyNumberFormat="1" applyFont="1" applyBorder="1" applyAlignment="1">
      <alignment horizontal="center" vertical="center"/>
    </xf>
    <xf numFmtId="164" fontId="23" fillId="0" borderId="11" xfId="0" applyNumberFormat="1" applyFont="1" applyBorder="1" applyAlignment="1">
      <alignment horizontal="center"/>
    </xf>
    <xf numFmtId="0" fontId="24" fillId="0" borderId="0" xfId="0" applyFont="1" applyAlignment="1">
      <alignment vertical="center"/>
    </xf>
    <xf numFmtId="0" fontId="23" fillId="0" borderId="0" xfId="0" applyFont="1" applyAlignment="1">
      <alignment vertical="center"/>
    </xf>
    <xf numFmtId="3" fontId="64" fillId="0" borderId="6" xfId="0" applyNumberFormat="1" applyFont="1" applyBorder="1" applyAlignment="1">
      <alignment vertical="center"/>
    </xf>
    <xf numFmtId="0" fontId="5" fillId="0" borderId="7" xfId="0" applyFont="1" applyBorder="1" applyAlignment="1">
      <alignment horizontal="right"/>
    </xf>
    <xf numFmtId="164" fontId="5" fillId="0" borderId="0" xfId="0" applyNumberFormat="1" applyFont="1" applyAlignment="1">
      <alignment vertical="top"/>
    </xf>
    <xf numFmtId="164" fontId="24" fillId="0" borderId="0" xfId="0" applyNumberFormat="1" applyFont="1" applyAlignment="1">
      <alignment vertical="center" wrapText="1"/>
    </xf>
    <xf numFmtId="1" fontId="29" fillId="0" borderId="0" xfId="0" applyNumberFormat="1" applyFont="1" applyAlignment="1">
      <alignment horizontal="center"/>
    </xf>
    <xf numFmtId="1" fontId="5" fillId="0" borderId="0" xfId="0" applyNumberFormat="1" applyFont="1"/>
    <xf numFmtId="0" fontId="37" fillId="0" borderId="0" xfId="0" applyFont="1" applyAlignment="1">
      <alignment horizontal="center"/>
    </xf>
    <xf numFmtId="0" fontId="8" fillId="0" borderId="0" xfId="0" applyFont="1" applyAlignment="1">
      <alignment horizontal="center"/>
    </xf>
    <xf numFmtId="0" fontId="29" fillId="0" borderId="0" xfId="0" applyFont="1" applyAlignment="1">
      <alignment vertical="center"/>
    </xf>
    <xf numFmtId="164" fontId="24" fillId="0" borderId="0" xfId="0" applyNumberFormat="1" applyFont="1" applyAlignment="1">
      <alignment vertical="center"/>
    </xf>
    <xf numFmtId="164" fontId="24" fillId="0" borderId="0" xfId="0" applyNumberFormat="1" applyFont="1" applyAlignment="1">
      <alignment vertical="center" wrapText="1"/>
    </xf>
    <xf numFmtId="164" fontId="41" fillId="0" borderId="0" xfId="0" applyNumberFormat="1" applyFont="1" applyBorder="1" applyAlignment="1">
      <alignment vertical="center"/>
    </xf>
    <xf numFmtId="0" fontId="29" fillId="0" borderId="0" xfId="0" applyFont="1" applyAlignment="1">
      <alignment vertical="center"/>
    </xf>
    <xf numFmtId="164" fontId="41" fillId="0" borderId="0" xfId="0" applyNumberFormat="1" applyFont="1" applyAlignment="1">
      <alignment vertical="center"/>
    </xf>
    <xf numFmtId="164" fontId="24" fillId="0" borderId="3" xfId="0" applyNumberFormat="1" applyFont="1" applyBorder="1"/>
    <xf numFmtId="164" fontId="24" fillId="0" borderId="0" xfId="0" applyNumberFormat="1" applyFont="1" applyBorder="1" applyAlignment="1"/>
    <xf numFmtId="164" fontId="5" fillId="0" borderId="3" xfId="0" applyNumberFormat="1" applyFont="1" applyBorder="1"/>
    <xf numFmtId="4" fontId="29" fillId="0" borderId="0" xfId="0" applyNumberFormat="1" applyFont="1" applyAlignment="1">
      <alignment horizontal="right" vertical="center"/>
    </xf>
    <xf numFmtId="0" fontId="8" fillId="0" borderId="0" xfId="0" applyFont="1" applyAlignment="1">
      <alignment horizontal="right" vertical="top"/>
    </xf>
    <xf numFmtId="4" fontId="29" fillId="0" borderId="0" xfId="0" applyNumberFormat="1" applyFont="1" applyAlignment="1">
      <alignment horizontal="right" vertical="center"/>
    </xf>
    <xf numFmtId="0" fontId="8" fillId="0" borderId="0" xfId="0" applyFont="1" applyAlignment="1">
      <alignment horizontal="left"/>
    </xf>
    <xf numFmtId="164" fontId="41" fillId="0" borderId="10" xfId="0" applyNumberFormat="1" applyFont="1" applyBorder="1"/>
    <xf numFmtId="164" fontId="4" fillId="3" borderId="0" xfId="0" applyNumberFormat="1" applyFont="1" applyFill="1"/>
    <xf numFmtId="164" fontId="23" fillId="0" borderId="4" xfId="0" applyNumberFormat="1" applyFont="1" applyBorder="1" applyAlignment="1">
      <alignment horizontal="left" vertical="center"/>
    </xf>
    <xf numFmtId="171" fontId="24" fillId="0" borderId="0" xfId="0" applyNumberFormat="1" applyFont="1"/>
    <xf numFmtId="164" fontId="22" fillId="0" borderId="0" xfId="0" applyNumberFormat="1" applyFont="1" applyAlignment="1">
      <alignment horizontal="left" vertical="center"/>
    </xf>
    <xf numFmtId="164" fontId="65" fillId="0" borderId="0" xfId="0" applyNumberFormat="1" applyFont="1" applyAlignment="1">
      <alignment horizontal="right" wrapText="1"/>
    </xf>
    <xf numFmtId="164" fontId="65" fillId="0" borderId="0" xfId="0" applyNumberFormat="1" applyFont="1" applyAlignment="1">
      <alignment horizontal="right"/>
    </xf>
    <xf numFmtId="164" fontId="24" fillId="0" borderId="11" xfId="0" applyNumberFormat="1" applyFont="1" applyBorder="1" applyAlignment="1">
      <alignment horizontal="left" vertical="center"/>
    </xf>
    <xf numFmtId="164" fontId="25" fillId="0" borderId="11" xfId="0" applyNumberFormat="1" applyFont="1" applyBorder="1" applyAlignment="1">
      <alignment horizontal="center"/>
    </xf>
    <xf numFmtId="164" fontId="24" fillId="0" borderId="11" xfId="0" applyNumberFormat="1" applyFont="1" applyBorder="1"/>
    <xf numFmtId="164" fontId="5" fillId="0" borderId="11" xfId="0" applyNumberFormat="1" applyFont="1" applyBorder="1"/>
    <xf numFmtId="164" fontId="24" fillId="0" borderId="0" xfId="0" applyNumberFormat="1" applyFont="1" applyBorder="1" applyAlignment="1">
      <alignment horizontal="right" wrapText="1"/>
    </xf>
    <xf numFmtId="164" fontId="3" fillId="0" borderId="0" xfId="0" applyNumberFormat="1" applyFont="1" applyAlignment="1">
      <alignment horizontal="left" vertical="top" wrapText="1"/>
    </xf>
    <xf numFmtId="164" fontId="24" fillId="0" borderId="9" xfId="0" applyNumberFormat="1" applyFont="1" applyBorder="1" applyAlignment="1">
      <alignment horizontal="left" vertical="center" wrapText="1"/>
    </xf>
    <xf numFmtId="164" fontId="29" fillId="0" borderId="3" xfId="0" applyNumberFormat="1" applyFont="1" applyBorder="1" applyAlignment="1">
      <alignment horizontal="right" vertical="center"/>
    </xf>
    <xf numFmtId="164" fontId="29" fillId="0" borderId="3" xfId="0" applyNumberFormat="1" applyFont="1" applyBorder="1"/>
    <xf numFmtId="164" fontId="8" fillId="0" borderId="0" xfId="0" applyNumberFormat="1" applyFont="1" applyAlignment="1">
      <alignment horizontal="left" vertical="center" wrapText="1"/>
    </xf>
    <xf numFmtId="164" fontId="24" fillId="0" borderId="10" xfId="0" applyNumberFormat="1" applyFont="1" applyBorder="1" applyAlignment="1">
      <alignment horizontal="left" vertical="center"/>
    </xf>
    <xf numFmtId="164" fontId="24" fillId="0" borderId="10" xfId="0" applyNumberFormat="1" applyFont="1" applyBorder="1"/>
    <xf numFmtId="164" fontId="23" fillId="0" borderId="0" xfId="0" applyNumberFormat="1" applyFont="1" applyAlignment="1">
      <alignment horizontal="right" vertical="center"/>
    </xf>
    <xf numFmtId="164" fontId="23" fillId="0" borderId="0" xfId="0" applyNumberFormat="1" applyFont="1" applyAlignment="1">
      <alignment horizontal="right" vertical="center" wrapText="1"/>
    </xf>
    <xf numFmtId="164" fontId="12" fillId="0" borderId="0" xfId="0" applyNumberFormat="1" applyFont="1" applyAlignment="1">
      <alignment horizontal="left" vertical="top" wrapText="1"/>
    </xf>
    <xf numFmtId="164" fontId="4" fillId="0" borderId="0" xfId="0" applyNumberFormat="1" applyFont="1" applyAlignment="1">
      <alignment horizontal="left"/>
    </xf>
    <xf numFmtId="164" fontId="34" fillId="0" borderId="0" xfId="0" applyNumberFormat="1" applyFont="1" applyAlignment="1">
      <alignment horizontal="right" vertical="top" wrapText="1"/>
    </xf>
    <xf numFmtId="164" fontId="66" fillId="0" borderId="0" xfId="0" applyNumberFormat="1" applyFont="1" applyAlignment="1"/>
    <xf numFmtId="164" fontId="5" fillId="9" borderId="0" xfId="0" applyNumberFormat="1" applyFont="1" applyFill="1"/>
    <xf numFmtId="164" fontId="8" fillId="3" borderId="0" xfId="0" applyNumberFormat="1" applyFont="1" applyFill="1"/>
    <xf numFmtId="0" fontId="5" fillId="0" borderId="0" xfId="0" applyFont="1" applyAlignment="1">
      <alignment horizontal="right" vertical="center"/>
    </xf>
    <xf numFmtId="164" fontId="8" fillId="0" borderId="0" xfId="0" applyNumberFormat="1" applyFont="1" applyAlignment="1">
      <alignment horizontal="left"/>
    </xf>
    <xf numFmtId="164" fontId="2" fillId="0" borderId="0" xfId="0" applyNumberFormat="1" applyFont="1"/>
    <xf numFmtId="0" fontId="0" fillId="0" borderId="0" xfId="0" applyFont="1" applyAlignment="1"/>
    <xf numFmtId="164" fontId="5" fillId="0" borderId="0" xfId="0" applyNumberFormat="1" applyFont="1" applyAlignment="1">
      <alignment horizontal="left" vertical="top" wrapText="1"/>
    </xf>
    <xf numFmtId="164" fontId="8" fillId="0" borderId="0" xfId="0" applyNumberFormat="1" applyFont="1" applyAlignment="1">
      <alignment vertical="top" wrapText="1"/>
    </xf>
    <xf numFmtId="164" fontId="5" fillId="0" borderId="0" xfId="0" applyNumberFormat="1" applyFont="1" applyAlignment="1">
      <alignment vertical="top"/>
    </xf>
    <xf numFmtId="164" fontId="6" fillId="0" borderId="0" xfId="0" applyNumberFormat="1" applyFont="1"/>
    <xf numFmtId="164" fontId="5" fillId="0" borderId="0" xfId="0" applyNumberFormat="1" applyFont="1" applyAlignment="1">
      <alignment vertical="top" wrapText="1"/>
    </xf>
    <xf numFmtId="164" fontId="8" fillId="0" borderId="0" xfId="0" applyNumberFormat="1" applyFont="1" applyAlignment="1">
      <alignment vertical="top"/>
    </xf>
    <xf numFmtId="164" fontId="4" fillId="0" borderId="0" xfId="0" applyNumberFormat="1" applyFont="1" applyAlignment="1">
      <alignment vertical="top" wrapText="1"/>
    </xf>
    <xf numFmtId="164" fontId="3" fillId="0" borderId="0" xfId="0" applyNumberFormat="1" applyFont="1" applyAlignment="1"/>
    <xf numFmtId="0" fontId="6" fillId="0" borderId="0" xfId="0" applyFont="1"/>
    <xf numFmtId="164" fontId="3" fillId="0" borderId="0" xfId="0" applyNumberFormat="1" applyFont="1" applyAlignment="1">
      <alignment vertical="top"/>
    </xf>
    <xf numFmtId="164" fontId="2" fillId="0" borderId="0" xfId="0" applyNumberFormat="1" applyFont="1" applyAlignment="1">
      <alignment vertical="top"/>
    </xf>
    <xf numFmtId="0" fontId="15" fillId="0" borderId="1" xfId="0" applyFont="1" applyBorder="1" applyAlignment="1"/>
    <xf numFmtId="0" fontId="16" fillId="0" borderId="2" xfId="0" applyFont="1" applyBorder="1"/>
    <xf numFmtId="0" fontId="16" fillId="0" borderId="5" xfId="0" applyFont="1" applyBorder="1"/>
    <xf numFmtId="164" fontId="6" fillId="0" borderId="0" xfId="0" applyNumberFormat="1" applyFont="1" applyAlignment="1">
      <alignment horizontal="left"/>
    </xf>
    <xf numFmtId="164" fontId="4" fillId="3" borderId="0" xfId="0" applyNumberFormat="1" applyFont="1" applyFill="1" applyAlignment="1">
      <alignment horizontal="left" vertical="top" wrapText="1"/>
    </xf>
    <xf numFmtId="164" fontId="6" fillId="0" borderId="0" xfId="0" applyNumberFormat="1" applyFont="1" applyAlignment="1">
      <alignment horizontal="left" vertical="top"/>
    </xf>
    <xf numFmtId="164" fontId="3" fillId="0" borderId="0" xfId="0" applyNumberFormat="1" applyFont="1" applyAlignment="1">
      <alignment horizontal="left"/>
    </xf>
    <xf numFmtId="164" fontId="4" fillId="0" borderId="0" xfId="0" applyNumberFormat="1" applyFont="1" applyAlignment="1">
      <alignment horizontal="left" vertical="top" wrapText="1"/>
    </xf>
    <xf numFmtId="0" fontId="30" fillId="0" borderId="0" xfId="0" applyFont="1" applyAlignment="1">
      <alignment vertical="top" wrapText="1"/>
    </xf>
    <xf numFmtId="0" fontId="2" fillId="0" borderId="0" xfId="0" applyFont="1" applyAlignment="1">
      <alignment horizontal="left" vertical="top"/>
    </xf>
    <xf numFmtId="0" fontId="5" fillId="0" borderId="0" xfId="0" applyFont="1" applyAlignment="1">
      <alignment vertical="top" wrapText="1"/>
    </xf>
    <xf numFmtId="0" fontId="38" fillId="0" borderId="0" xfId="0" applyFont="1" applyAlignment="1">
      <alignment vertical="top" wrapText="1"/>
    </xf>
    <xf numFmtId="0" fontId="36" fillId="0" borderId="0" xfId="0" applyFont="1" applyAlignment="1">
      <alignment vertical="top" wrapText="1"/>
    </xf>
    <xf numFmtId="0" fontId="21" fillId="0" borderId="0" xfId="0" applyFont="1" applyAlignment="1">
      <alignment vertical="top" wrapText="1"/>
    </xf>
    <xf numFmtId="0" fontId="3" fillId="0" borderId="0" xfId="0" applyFont="1"/>
    <xf numFmtId="0" fontId="5" fillId="0" borderId="0" xfId="0" applyFont="1" applyAlignment="1">
      <alignment horizontal="left" vertical="top" wrapText="1"/>
    </xf>
    <xf numFmtId="164" fontId="22" fillId="0" borderId="0" xfId="0" applyNumberFormat="1" applyFont="1" applyAlignment="1">
      <alignment vertical="top" wrapText="1"/>
    </xf>
    <xf numFmtId="164" fontId="23" fillId="0" borderId="3" xfId="0" applyNumberFormat="1" applyFont="1" applyBorder="1" applyAlignment="1">
      <alignment horizontal="center" vertical="top"/>
    </xf>
    <xf numFmtId="0" fontId="16" fillId="0" borderId="3" xfId="0" applyFont="1" applyBorder="1"/>
    <xf numFmtId="164" fontId="24" fillId="0" borderId="0" xfId="0" applyNumberFormat="1" applyFont="1" applyAlignment="1">
      <alignment vertical="top" wrapText="1"/>
    </xf>
    <xf numFmtId="0" fontId="7" fillId="0" borderId="0" xfId="1"/>
    <xf numFmtId="0" fontId="7" fillId="0" borderId="0" xfId="1" applyFill="1"/>
    <xf numFmtId="0" fontId="7" fillId="0" borderId="0" xfId="1" applyNumberFormat="1" applyFill="1"/>
    <xf numFmtId="164" fontId="7" fillId="0" borderId="12" xfId="1" applyNumberFormat="1" applyFill="1" applyBorder="1" applyAlignment="1">
      <alignment vertical="top"/>
    </xf>
    <xf numFmtId="0" fontId="7" fillId="0" borderId="12" xfId="1" applyNumberFormat="1" applyFill="1" applyBorder="1" applyAlignment="1">
      <alignment vertical="top"/>
    </xf>
    <xf numFmtId="0" fontId="7" fillId="0" borderId="12" xfId="1" applyNumberFormat="1" applyFill="1" applyBorder="1" applyAlignment="1"/>
    <xf numFmtId="0" fontId="67" fillId="0" borderId="13" xfId="1" applyFont="1" applyFill="1" applyBorder="1" applyAlignment="1">
      <alignment horizontal="left" vertical="top" wrapText="1"/>
    </xf>
    <xf numFmtId="164" fontId="7" fillId="0" borderId="0" xfId="1" applyNumberFormat="1" applyFill="1" applyBorder="1" applyAlignment="1"/>
    <xf numFmtId="0" fontId="7" fillId="0" borderId="0" xfId="1" applyNumberFormat="1" applyFill="1" applyBorder="1" applyAlignment="1"/>
    <xf numFmtId="3" fontId="7" fillId="0" borderId="0" xfId="1" applyNumberFormat="1" applyFill="1" applyBorder="1" applyAlignment="1"/>
    <xf numFmtId="171" fontId="7" fillId="0" borderId="0" xfId="1" applyNumberFormat="1" applyFill="1" applyBorder="1" applyAlignment="1"/>
    <xf numFmtId="0" fontId="67" fillId="0" borderId="14" xfId="1" applyFont="1" applyFill="1" applyBorder="1" applyAlignment="1">
      <alignment horizontal="left"/>
    </xf>
    <xf numFmtId="164" fontId="7" fillId="0" borderId="15" xfId="1" applyNumberFormat="1" applyFill="1" applyBorder="1" applyAlignment="1"/>
    <xf numFmtId="0" fontId="7" fillId="0" borderId="15" xfId="1" applyNumberFormat="1" applyFill="1" applyBorder="1" applyAlignment="1"/>
    <xf numFmtId="164" fontId="7" fillId="10" borderId="15" xfId="1" applyNumberFormat="1" applyFill="1" applyBorder="1" applyAlignment="1"/>
    <xf numFmtId="0" fontId="67" fillId="0" borderId="16" xfId="1" applyFont="1" applyFill="1" applyBorder="1" applyAlignment="1">
      <alignment horizontal="left"/>
    </xf>
    <xf numFmtId="164" fontId="7" fillId="0" borderId="15" xfId="1" applyNumberFormat="1" applyFont="1" applyFill="1" applyBorder="1" applyAlignment="1"/>
    <xf numFmtId="0" fontId="7" fillId="0" borderId="15" xfId="1" applyNumberFormat="1" applyFont="1" applyFill="1" applyBorder="1" applyAlignment="1"/>
    <xf numFmtId="0" fontId="7" fillId="0" borderId="16" xfId="1" applyFont="1" applyFill="1" applyBorder="1" applyAlignment="1">
      <alignment horizontal="left"/>
    </xf>
    <xf numFmtId="0" fontId="7" fillId="0" borderId="14" xfId="1" applyFill="1" applyBorder="1" applyAlignment="1">
      <alignment horizontal="left"/>
    </xf>
    <xf numFmtId="164" fontId="7" fillId="11" borderId="0" xfId="1" applyNumberFormat="1" applyFill="1" applyBorder="1" applyAlignment="1"/>
    <xf numFmtId="0" fontId="7" fillId="11" borderId="0" xfId="1" applyNumberFormat="1" applyFill="1" applyBorder="1" applyAlignment="1"/>
    <xf numFmtId="0" fontId="7" fillId="11" borderId="0" xfId="1" applyFill="1" applyBorder="1" applyAlignment="1"/>
    <xf numFmtId="0" fontId="7" fillId="11" borderId="14" xfId="1" applyFill="1" applyBorder="1" applyAlignment="1">
      <alignment horizontal="left"/>
    </xf>
    <xf numFmtId="0" fontId="7" fillId="0" borderId="0" xfId="1" applyFill="1" applyBorder="1" applyAlignment="1"/>
    <xf numFmtId="0" fontId="67" fillId="0" borderId="15" xfId="1" applyFont="1" applyFill="1" applyBorder="1" applyAlignment="1">
      <alignment vertical="top" wrapText="1"/>
    </xf>
    <xf numFmtId="0" fontId="67" fillId="0" borderId="15" xfId="1" applyNumberFormat="1" applyFont="1" applyFill="1" applyBorder="1" applyAlignment="1">
      <alignment vertical="top" wrapText="1"/>
    </xf>
    <xf numFmtId="0" fontId="68" fillId="0" borderId="16" xfId="1" applyFont="1" applyFill="1" applyBorder="1" applyAlignment="1">
      <alignment vertical="top" wrapText="1"/>
    </xf>
    <xf numFmtId="0" fontId="69" fillId="0" borderId="17" xfId="1" applyFont="1" applyFill="1" applyBorder="1" applyAlignment="1">
      <alignment horizontal="centerContinuous"/>
    </xf>
    <xf numFmtId="0" fontId="69" fillId="0" borderId="17" xfId="1" applyFont="1" applyFill="1" applyBorder="1" applyAlignment="1">
      <alignment horizontal="center" vertical="top" wrapText="1"/>
    </xf>
    <xf numFmtId="0" fontId="68" fillId="0" borderId="18" xfId="1" applyFont="1" applyFill="1" applyBorder="1" applyAlignment="1">
      <alignment horizontal="center" vertical="top" wrapText="1"/>
    </xf>
    <xf numFmtId="166" fontId="7" fillId="11" borderId="0" xfId="1" applyNumberFormat="1" applyFill="1"/>
    <xf numFmtId="0" fontId="7" fillId="11" borderId="0" xfId="1" applyFill="1" applyBorder="1" applyAlignment="1">
      <alignment horizontal="left"/>
    </xf>
    <xf numFmtId="164" fontId="7" fillId="0" borderId="0" xfId="1" applyNumberFormat="1"/>
    <xf numFmtId="164" fontId="7" fillId="11" borderId="0" xfId="1" applyNumberFormat="1" applyFill="1"/>
    <xf numFmtId="0" fontId="7" fillId="11" borderId="0" xfId="1" applyFill="1"/>
    <xf numFmtId="0" fontId="43" fillId="0" borderId="0" xfId="1" applyFont="1" applyAlignment="1">
      <alignment vertical="top" wrapText="1"/>
    </xf>
    <xf numFmtId="0" fontId="43" fillId="0" borderId="15" xfId="1" applyFont="1" applyFill="1" applyBorder="1" applyAlignment="1">
      <alignment vertical="top" wrapText="1"/>
    </xf>
    <xf numFmtId="0" fontId="7" fillId="0" borderId="0" xfId="1" applyFill="1" applyAlignment="1">
      <alignment vertical="top" wrapText="1"/>
    </xf>
    <xf numFmtId="0" fontId="7" fillId="0" borderId="0" xfId="1" applyFont="1" applyFill="1" applyAlignment="1">
      <alignment vertical="top"/>
    </xf>
    <xf numFmtId="0" fontId="7" fillId="0" borderId="0" xfId="1" applyFont="1" applyFill="1"/>
    <xf numFmtId="0" fontId="7" fillId="0" borderId="0" xfId="1" applyAlignment="1">
      <alignment vertical="top" wrapText="1"/>
    </xf>
    <xf numFmtId="0" fontId="7" fillId="0" borderId="0" xfId="1" applyAlignment="1">
      <alignment vertical="top" wrapText="1"/>
    </xf>
    <xf numFmtId="0" fontId="43" fillId="10" borderId="0" xfId="1" applyFont="1" applyFill="1" applyAlignment="1">
      <alignment vertical="top" wrapText="1"/>
    </xf>
    <xf numFmtId="164" fontId="7" fillId="0" borderId="0" xfId="1" applyNumberFormat="1" applyAlignment="1">
      <alignment vertical="top" wrapText="1"/>
    </xf>
    <xf numFmtId="0" fontId="7" fillId="11" borderId="0" xfId="1" applyFill="1" applyAlignment="1">
      <alignment vertical="top" wrapText="1"/>
    </xf>
    <xf numFmtId="0" fontId="7" fillId="12" borderId="0" xfId="1" applyFont="1" applyFill="1"/>
    <xf numFmtId="0" fontId="7" fillId="12" borderId="0" xfId="1" applyNumberFormat="1" applyFont="1" applyFill="1"/>
    <xf numFmtId="0" fontId="67" fillId="0" borderId="0" xfId="1" applyFont="1" applyFill="1" applyBorder="1" applyAlignment="1">
      <alignment horizontal="left" vertical="top" wrapText="1"/>
    </xf>
    <xf numFmtId="0" fontId="7" fillId="12" borderId="0" xfId="1" applyFont="1" applyFill="1" applyAlignment="1">
      <alignment vertical="top"/>
    </xf>
    <xf numFmtId="0" fontId="7" fillId="12" borderId="0" xfId="1" applyNumberFormat="1" applyFont="1" applyFill="1" applyAlignment="1">
      <alignment vertical="top" wrapText="1"/>
    </xf>
    <xf numFmtId="0" fontId="43" fillId="10" borderId="0" xfId="1" applyFont="1" applyFill="1"/>
    <xf numFmtId="0" fontId="43" fillId="0" borderId="0" xfId="1" applyFont="1" applyFill="1"/>
    <xf numFmtId="0" fontId="43" fillId="0" borderId="0" xfId="1" applyNumberFormat="1" applyFont="1" applyFill="1"/>
    <xf numFmtId="0" fontId="7" fillId="0" borderId="0" xfId="1" applyFont="1"/>
    <xf numFmtId="164" fontId="7" fillId="0" borderId="0" xfId="1" applyNumberFormat="1" applyFill="1"/>
    <xf numFmtId="164" fontId="69" fillId="0" borderId="0" xfId="1" applyNumberFormat="1" applyFont="1" applyFill="1" applyBorder="1" applyAlignment="1"/>
    <xf numFmtId="0" fontId="43" fillId="0" borderId="0" xfId="1" applyFont="1" applyFill="1" applyAlignment="1">
      <alignment vertical="top" wrapText="1"/>
    </xf>
    <xf numFmtId="0" fontId="43" fillId="0" borderId="0" xfId="1" applyNumberFormat="1" applyFont="1" applyFill="1" applyAlignment="1">
      <alignment vertical="top" wrapText="1"/>
    </xf>
    <xf numFmtId="0" fontId="72" fillId="0" borderId="0" xfId="1" applyFont="1" applyFill="1" applyAlignment="1">
      <alignment wrapText="1"/>
    </xf>
    <xf numFmtId="164" fontId="73" fillId="0" borderId="0" xfId="0" applyNumberFormat="1" applyFont="1" applyAlignment="1">
      <alignment vertical="top" wrapText="1"/>
    </xf>
  </cellXfs>
  <cellStyles count="2">
    <cellStyle name="Normal" xfId="0" builtinId="0"/>
    <cellStyle name="Normal 2" xfId="1"/>
  </cellStyles>
  <dxfs count="3">
    <dxf>
      <font>
        <color rgb="FF0B8043"/>
      </font>
      <fill>
        <patternFill patternType="none"/>
      </fill>
      <border>
        <left/>
        <right/>
        <top/>
        <bottom/>
      </border>
    </dxf>
    <dxf>
      <fill>
        <patternFill patternType="solid">
          <fgColor rgb="FFB7E1CD"/>
          <bgColor rgb="FFB7E1CD"/>
        </patternFill>
      </fill>
      <border>
        <left/>
        <right/>
        <top/>
        <bottom/>
      </border>
    </dxf>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533400</xdr:colOff>
      <xdr:row>17</xdr:row>
      <xdr:rowOff>171450</xdr:rowOff>
    </xdr:from>
    <xdr:to>
      <xdr:col>15</xdr:col>
      <xdr:colOff>257175</xdr:colOff>
      <xdr:row>19</xdr:row>
      <xdr:rowOff>66675</xdr:rowOff>
    </xdr:to>
    <xdr:pic>
      <xdr:nvPicPr>
        <xdr:cNvPr id="2" name="image01.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10</xdr:col>
      <xdr:colOff>400050</xdr:colOff>
      <xdr:row>47</xdr:row>
      <xdr:rowOff>95250</xdr:rowOff>
    </xdr:to>
    <xdr:sp macro="" textlink="">
      <xdr:nvSpPr>
        <xdr:cNvPr id="1119" name="Rectangle 9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57150</xdr:colOff>
      <xdr:row>16</xdr:row>
      <xdr:rowOff>161925</xdr:rowOff>
    </xdr:from>
    <xdr:to>
      <xdr:col>15</xdr:col>
      <xdr:colOff>76200</xdr:colOff>
      <xdr:row>18</xdr:row>
      <xdr:rowOff>57150</xdr:rowOff>
    </xdr:to>
    <xdr:pic>
      <xdr:nvPicPr>
        <xdr:cNvPr id="2" name="image00.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10</xdr:col>
      <xdr:colOff>85725</xdr:colOff>
      <xdr:row>47</xdr:row>
      <xdr:rowOff>133350</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xdr:colOff>
      <xdr:row>19</xdr:row>
      <xdr:rowOff>180975</xdr:rowOff>
    </xdr:from>
    <xdr:to>
      <xdr:col>15</xdr:col>
      <xdr:colOff>219075</xdr:colOff>
      <xdr:row>21</xdr:row>
      <xdr:rowOff>76200</xdr:rowOff>
    </xdr:to>
    <xdr:pic>
      <xdr:nvPicPr>
        <xdr:cNvPr id="2" name="image07.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10</xdr:col>
      <xdr:colOff>619125</xdr:colOff>
      <xdr:row>47</xdr:row>
      <xdr:rowOff>95250</xdr:rowOff>
    </xdr:to>
    <xdr:sp macro="" textlink="">
      <xdr:nvSpPr>
        <xdr:cNvPr id="14419" name="Rectangle 8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15</xdr:row>
      <xdr:rowOff>28575</xdr:rowOff>
    </xdr:from>
    <xdr:to>
      <xdr:col>15</xdr:col>
      <xdr:colOff>123825</xdr:colOff>
      <xdr:row>16</xdr:row>
      <xdr:rowOff>123825</xdr:rowOff>
    </xdr:to>
    <xdr:pic>
      <xdr:nvPicPr>
        <xdr:cNvPr id="2" name="image04.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10</xdr:col>
      <xdr:colOff>19050</xdr:colOff>
      <xdr:row>48</xdr:row>
      <xdr:rowOff>76200</xdr:rowOff>
    </xdr:to>
    <xdr:sp macro="" textlink="">
      <xdr:nvSpPr>
        <xdr:cNvPr id="8267" name="Rectangle 75"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9525</xdr:colOff>
      <xdr:row>19</xdr:row>
      <xdr:rowOff>47625</xdr:rowOff>
    </xdr:from>
    <xdr:to>
      <xdr:col>12</xdr:col>
      <xdr:colOff>361950</xdr:colOff>
      <xdr:row>20</xdr:row>
      <xdr:rowOff>142875</xdr:rowOff>
    </xdr:to>
    <xdr:pic>
      <xdr:nvPicPr>
        <xdr:cNvPr id="2" name="image05.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9</xdr:col>
      <xdr:colOff>819150</xdr:colOff>
      <xdr:row>47</xdr:row>
      <xdr:rowOff>123825</xdr:rowOff>
    </xdr:to>
    <xdr:sp macro="" textlink="">
      <xdr:nvSpPr>
        <xdr:cNvPr id="4210" name="Rectangle 11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19050</xdr:colOff>
      <xdr:row>20</xdr:row>
      <xdr:rowOff>28575</xdr:rowOff>
    </xdr:from>
    <xdr:to>
      <xdr:col>12</xdr:col>
      <xdr:colOff>142875</xdr:colOff>
      <xdr:row>21</xdr:row>
      <xdr:rowOff>123825</xdr:rowOff>
    </xdr:to>
    <xdr:pic>
      <xdr:nvPicPr>
        <xdr:cNvPr id="2" name="image02.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17</xdr:row>
      <xdr:rowOff>66675</xdr:rowOff>
    </xdr:from>
    <xdr:to>
      <xdr:col>15</xdr:col>
      <xdr:colOff>209550</xdr:colOff>
      <xdr:row>18</xdr:row>
      <xdr:rowOff>161925</xdr:rowOff>
    </xdr:to>
    <xdr:pic>
      <xdr:nvPicPr>
        <xdr:cNvPr id="2" name="image06.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8</xdr:col>
      <xdr:colOff>628650</xdr:colOff>
      <xdr:row>47</xdr:row>
      <xdr:rowOff>95250</xdr:rowOff>
    </xdr:to>
    <xdr:sp macro="" textlink="">
      <xdr:nvSpPr>
        <xdr:cNvPr id="6252" name="Rectangle 108"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19050</xdr:colOff>
      <xdr:row>14</xdr:row>
      <xdr:rowOff>171450</xdr:rowOff>
    </xdr:from>
    <xdr:to>
      <xdr:col>15</xdr:col>
      <xdr:colOff>142875</xdr:colOff>
      <xdr:row>16</xdr:row>
      <xdr:rowOff>66675</xdr:rowOff>
    </xdr:to>
    <xdr:pic>
      <xdr:nvPicPr>
        <xdr:cNvPr id="2" name="image10.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30</xdr:col>
      <xdr:colOff>47625</xdr:colOff>
      <xdr:row>24</xdr:row>
      <xdr:rowOff>123825</xdr:rowOff>
    </xdr:from>
    <xdr:to>
      <xdr:col>31</xdr:col>
      <xdr:colOff>171450</xdr:colOff>
      <xdr:row>26</xdr:row>
      <xdr:rowOff>19050</xdr:rowOff>
    </xdr:to>
    <xdr:pic>
      <xdr:nvPicPr>
        <xdr:cNvPr id="2" name="image08.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10</xdr:col>
      <xdr:colOff>800100</xdr:colOff>
      <xdr:row>47</xdr:row>
      <xdr:rowOff>123825</xdr:rowOff>
    </xdr:to>
    <xdr:sp macro="" textlink="">
      <xdr:nvSpPr>
        <xdr:cNvPr id="19567" name="Rectangle 11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9525</xdr:colOff>
      <xdr:row>15</xdr:row>
      <xdr:rowOff>85725</xdr:rowOff>
    </xdr:from>
    <xdr:to>
      <xdr:col>17</xdr:col>
      <xdr:colOff>219075</xdr:colOff>
      <xdr:row>16</xdr:row>
      <xdr:rowOff>180975</xdr:rowOff>
    </xdr:to>
    <xdr:pic>
      <xdr:nvPicPr>
        <xdr:cNvPr id="2" name="image09.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7</xdr:col>
      <xdr:colOff>1066800</xdr:colOff>
      <xdr:row>48</xdr:row>
      <xdr:rowOff>114300</xdr:rowOff>
    </xdr:to>
    <xdr:sp macro="" textlink="">
      <xdr:nvSpPr>
        <xdr:cNvPr id="12391" name="Rectangle 10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47625</xdr:colOff>
      <xdr:row>15</xdr:row>
      <xdr:rowOff>323850</xdr:rowOff>
    </xdr:from>
    <xdr:to>
      <xdr:col>17</xdr:col>
      <xdr:colOff>171450</xdr:colOff>
      <xdr:row>18</xdr:row>
      <xdr:rowOff>19050</xdr:rowOff>
    </xdr:to>
    <xdr:pic>
      <xdr:nvPicPr>
        <xdr:cNvPr id="2" name="image03.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xdr:from>
      <xdr:col>17</xdr:col>
      <xdr:colOff>47625</xdr:colOff>
      <xdr:row>18</xdr:row>
      <xdr:rowOff>123825</xdr:rowOff>
    </xdr:from>
    <xdr:to>
      <xdr:col>18</xdr:col>
      <xdr:colOff>352425</xdr:colOff>
      <xdr:row>20</xdr:row>
      <xdr:rowOff>19050</xdr:rowOff>
    </xdr:to>
    <xdr:pic>
      <xdr:nvPicPr>
        <xdr:cNvPr id="2" name="image12.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9</xdr:col>
      <xdr:colOff>1257300</xdr:colOff>
      <xdr:row>47</xdr:row>
      <xdr:rowOff>9525</xdr:rowOff>
    </xdr:to>
    <xdr:sp macro="" textlink="">
      <xdr:nvSpPr>
        <xdr:cNvPr id="7265" name="Rectangle 9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57150</xdr:colOff>
      <xdr:row>16</xdr:row>
      <xdr:rowOff>66675</xdr:rowOff>
    </xdr:from>
    <xdr:to>
      <xdr:col>17</xdr:col>
      <xdr:colOff>180975</xdr:colOff>
      <xdr:row>17</xdr:row>
      <xdr:rowOff>161925</xdr:rowOff>
    </xdr:to>
    <xdr:pic>
      <xdr:nvPicPr>
        <xdr:cNvPr id="2" name="image11.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10</xdr:col>
      <xdr:colOff>95250</xdr:colOff>
      <xdr:row>46</xdr:row>
      <xdr:rowOff>180975</xdr:rowOff>
    </xdr:to>
    <xdr:sp macro="" textlink="">
      <xdr:nvSpPr>
        <xdr:cNvPr id="17412" name="Rectangle 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0</xdr:colOff>
      <xdr:row>15</xdr:row>
      <xdr:rowOff>0</xdr:rowOff>
    </xdr:from>
    <xdr:to>
      <xdr:col>17</xdr:col>
      <xdr:colOff>361950</xdr:colOff>
      <xdr:row>16</xdr:row>
      <xdr:rowOff>95250</xdr:rowOff>
    </xdr:to>
    <xdr:pic>
      <xdr:nvPicPr>
        <xdr:cNvPr id="2" name="image14.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8</xdr:col>
      <xdr:colOff>457200</xdr:colOff>
      <xdr:row>47</xdr:row>
      <xdr:rowOff>76200</xdr:rowOff>
    </xdr:to>
    <xdr:sp macro="" textlink="">
      <xdr:nvSpPr>
        <xdr:cNvPr id="15371" name="Rectangle 1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57150</xdr:colOff>
      <xdr:row>13</xdr:row>
      <xdr:rowOff>142875</xdr:rowOff>
    </xdr:from>
    <xdr:to>
      <xdr:col>17</xdr:col>
      <xdr:colOff>180975</xdr:colOff>
      <xdr:row>15</xdr:row>
      <xdr:rowOff>38100</xdr:rowOff>
    </xdr:to>
    <xdr:pic>
      <xdr:nvPicPr>
        <xdr:cNvPr id="2" name="image13.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wsDr>
</file>

<file path=xl/drawings/drawing16.xml><?xml version="1.0" encoding="utf-8"?>
<xdr:wsDr xmlns:xdr="http://schemas.openxmlformats.org/drawingml/2006/spreadsheetDrawing" xmlns:a="http://schemas.openxmlformats.org/drawingml/2006/main">
  <xdr:twoCellAnchor>
    <xdr:from>
      <xdr:col>15</xdr:col>
      <xdr:colOff>9525</xdr:colOff>
      <xdr:row>13</xdr:row>
      <xdr:rowOff>76200</xdr:rowOff>
    </xdr:from>
    <xdr:to>
      <xdr:col>16</xdr:col>
      <xdr:colOff>219075</xdr:colOff>
      <xdr:row>14</xdr:row>
      <xdr:rowOff>171450</xdr:rowOff>
    </xdr:to>
    <xdr:pic>
      <xdr:nvPicPr>
        <xdr:cNvPr id="2" name="image16.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10</xdr:col>
      <xdr:colOff>257175</xdr:colOff>
      <xdr:row>47</xdr:row>
      <xdr:rowOff>95250</xdr:rowOff>
    </xdr:to>
    <xdr:sp macro="" textlink="">
      <xdr:nvSpPr>
        <xdr:cNvPr id="9287" name="Rectangle 7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66675</xdr:colOff>
      <xdr:row>11</xdr:row>
      <xdr:rowOff>38100</xdr:rowOff>
    </xdr:from>
    <xdr:to>
      <xdr:col>15</xdr:col>
      <xdr:colOff>190500</xdr:colOff>
      <xdr:row>12</xdr:row>
      <xdr:rowOff>133350</xdr:rowOff>
    </xdr:to>
    <xdr:pic>
      <xdr:nvPicPr>
        <xdr:cNvPr id="2" name="image19.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wsDr>
</file>

<file path=xl/drawings/drawing18.xml><?xml version="1.0" encoding="utf-8"?>
<xdr:wsDr xmlns:xdr="http://schemas.openxmlformats.org/drawingml/2006/spreadsheetDrawing" xmlns:a="http://schemas.openxmlformats.org/drawingml/2006/main">
  <xdr:twoCellAnchor>
    <xdr:from>
      <xdr:col>16</xdr:col>
      <xdr:colOff>9525</xdr:colOff>
      <xdr:row>18</xdr:row>
      <xdr:rowOff>9525</xdr:rowOff>
    </xdr:from>
    <xdr:to>
      <xdr:col>17</xdr:col>
      <xdr:colOff>133350</xdr:colOff>
      <xdr:row>19</xdr:row>
      <xdr:rowOff>142875</xdr:rowOff>
    </xdr:to>
    <xdr:pic>
      <xdr:nvPicPr>
        <xdr:cNvPr id="2" name="image17.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12</xdr:col>
      <xdr:colOff>161925</xdr:colOff>
      <xdr:row>49</xdr:row>
      <xdr:rowOff>142875</xdr:rowOff>
    </xdr:to>
    <xdr:sp macro="" textlink="">
      <xdr:nvSpPr>
        <xdr:cNvPr id="13324" name="Rectangle 1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0</xdr:colOff>
      <xdr:row>14</xdr:row>
      <xdr:rowOff>352425</xdr:rowOff>
    </xdr:from>
    <xdr:to>
      <xdr:col>15</xdr:col>
      <xdr:colOff>209550</xdr:colOff>
      <xdr:row>17</xdr:row>
      <xdr:rowOff>47625</xdr:rowOff>
    </xdr:to>
    <xdr:pic>
      <xdr:nvPicPr>
        <xdr:cNvPr id="2" name="image18.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9</xdr:col>
      <xdr:colOff>47625</xdr:colOff>
      <xdr:row>47</xdr:row>
      <xdr:rowOff>95250</xdr:rowOff>
    </xdr:to>
    <xdr:sp macro="" textlink="">
      <xdr:nvSpPr>
        <xdr:cNvPr id="11336" name="Rectangle 7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19050</xdr:colOff>
      <xdr:row>14</xdr:row>
      <xdr:rowOff>76200</xdr:rowOff>
    </xdr:from>
    <xdr:to>
      <xdr:col>14</xdr:col>
      <xdr:colOff>857250</xdr:colOff>
      <xdr:row>15</xdr:row>
      <xdr:rowOff>171450</xdr:rowOff>
    </xdr:to>
    <xdr:pic>
      <xdr:nvPicPr>
        <xdr:cNvPr id="2" name="image15.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9</xdr:col>
      <xdr:colOff>38100</xdr:colOff>
      <xdr:row>47</xdr:row>
      <xdr:rowOff>123825</xdr:rowOff>
    </xdr:to>
    <xdr:sp macro="" textlink="">
      <xdr:nvSpPr>
        <xdr:cNvPr id="16448" name="Rectangle 64"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19050</xdr:colOff>
      <xdr:row>16</xdr:row>
      <xdr:rowOff>0</xdr:rowOff>
    </xdr:from>
    <xdr:to>
      <xdr:col>16</xdr:col>
      <xdr:colOff>228600</xdr:colOff>
      <xdr:row>17</xdr:row>
      <xdr:rowOff>95250</xdr:rowOff>
    </xdr:to>
    <xdr:pic>
      <xdr:nvPicPr>
        <xdr:cNvPr id="2" name="image22.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10</xdr:col>
      <xdr:colOff>628650</xdr:colOff>
      <xdr:row>47</xdr:row>
      <xdr:rowOff>95250</xdr:rowOff>
    </xdr:to>
    <xdr:sp macro="" textlink="">
      <xdr:nvSpPr>
        <xdr:cNvPr id="10282" name="Rectangle 4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47625</xdr:colOff>
      <xdr:row>16</xdr:row>
      <xdr:rowOff>57150</xdr:rowOff>
    </xdr:from>
    <xdr:to>
      <xdr:col>15</xdr:col>
      <xdr:colOff>171450</xdr:colOff>
      <xdr:row>17</xdr:row>
      <xdr:rowOff>152400</xdr:rowOff>
    </xdr:to>
    <xdr:pic>
      <xdr:nvPicPr>
        <xdr:cNvPr id="2" name="image20.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wsDr>
</file>

<file path=xl/drawings/drawing23.xml><?xml version="1.0" encoding="utf-8"?>
<xdr:wsDr xmlns:xdr="http://schemas.openxmlformats.org/drawingml/2006/spreadsheetDrawing" xmlns:a="http://schemas.openxmlformats.org/drawingml/2006/main">
  <xdr:twoCellAnchor>
    <xdr:from>
      <xdr:col>15</xdr:col>
      <xdr:colOff>19050</xdr:colOff>
      <xdr:row>14</xdr:row>
      <xdr:rowOff>190500</xdr:rowOff>
    </xdr:from>
    <xdr:to>
      <xdr:col>16</xdr:col>
      <xdr:colOff>142875</xdr:colOff>
      <xdr:row>15</xdr:row>
      <xdr:rowOff>285750</xdr:rowOff>
    </xdr:to>
    <xdr:pic>
      <xdr:nvPicPr>
        <xdr:cNvPr id="2" name="image21.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13</xdr:col>
      <xdr:colOff>581025</xdr:colOff>
      <xdr:row>48</xdr:row>
      <xdr:rowOff>28575</xdr:rowOff>
    </xdr:to>
    <xdr:sp macro="" textlink="">
      <xdr:nvSpPr>
        <xdr:cNvPr id="5123"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28575</xdr:colOff>
      <xdr:row>15</xdr:row>
      <xdr:rowOff>171450</xdr:rowOff>
    </xdr:from>
    <xdr:to>
      <xdr:col>13</xdr:col>
      <xdr:colOff>133350</xdr:colOff>
      <xdr:row>17</xdr:row>
      <xdr:rowOff>142875</xdr:rowOff>
    </xdr:to>
    <xdr:pic>
      <xdr:nvPicPr>
        <xdr:cNvPr id="2" name="image30.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14</xdr:row>
      <xdr:rowOff>95250</xdr:rowOff>
    </xdr:from>
    <xdr:to>
      <xdr:col>8</xdr:col>
      <xdr:colOff>123825</xdr:colOff>
      <xdr:row>15</xdr:row>
      <xdr:rowOff>190500</xdr:rowOff>
    </xdr:to>
    <xdr:pic>
      <xdr:nvPicPr>
        <xdr:cNvPr id="2" name="image24.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wsDr>
</file>

<file path=xl/drawings/drawing26.xml><?xml version="1.0" encoding="utf-8"?>
<xdr:wsDr xmlns:xdr="http://schemas.openxmlformats.org/drawingml/2006/spreadsheetDrawing" xmlns:a="http://schemas.openxmlformats.org/drawingml/2006/main">
  <xdr:twoCellAnchor>
    <xdr:from>
      <xdr:col>138</xdr:col>
      <xdr:colOff>95250</xdr:colOff>
      <xdr:row>15</xdr:row>
      <xdr:rowOff>180975</xdr:rowOff>
    </xdr:from>
    <xdr:to>
      <xdr:col>138</xdr:col>
      <xdr:colOff>933450</xdr:colOff>
      <xdr:row>17</xdr:row>
      <xdr:rowOff>76200</xdr:rowOff>
    </xdr:to>
    <xdr:pic>
      <xdr:nvPicPr>
        <xdr:cNvPr id="2" name="image23.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9</xdr:col>
      <xdr:colOff>533400</xdr:colOff>
      <xdr:row>47</xdr:row>
      <xdr:rowOff>95250</xdr:rowOff>
    </xdr:to>
    <xdr:sp macro="" textlink="">
      <xdr:nvSpPr>
        <xdr:cNvPr id="23603" name="Rectangle 5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113</xdr:col>
      <xdr:colOff>66675</xdr:colOff>
      <xdr:row>14</xdr:row>
      <xdr:rowOff>123825</xdr:rowOff>
    </xdr:from>
    <xdr:to>
      <xdr:col>113</xdr:col>
      <xdr:colOff>904875</xdr:colOff>
      <xdr:row>15</xdr:row>
      <xdr:rowOff>219075</xdr:rowOff>
    </xdr:to>
    <xdr:pic>
      <xdr:nvPicPr>
        <xdr:cNvPr id="2" name="image25.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9</xdr:col>
      <xdr:colOff>685800</xdr:colOff>
      <xdr:row>46</xdr:row>
      <xdr:rowOff>28575</xdr:rowOff>
    </xdr:to>
    <xdr:sp macro="" textlink="">
      <xdr:nvSpPr>
        <xdr:cNvPr id="22557" name="Rectangle 2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40</xdr:col>
      <xdr:colOff>19050</xdr:colOff>
      <xdr:row>14</xdr:row>
      <xdr:rowOff>161925</xdr:rowOff>
    </xdr:from>
    <xdr:to>
      <xdr:col>41</xdr:col>
      <xdr:colOff>142875</xdr:colOff>
      <xdr:row>16</xdr:row>
      <xdr:rowOff>57150</xdr:rowOff>
    </xdr:to>
    <xdr:pic>
      <xdr:nvPicPr>
        <xdr:cNvPr id="2" name="image29.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8</xdr:col>
      <xdr:colOff>771525</xdr:colOff>
      <xdr:row>47</xdr:row>
      <xdr:rowOff>76200</xdr:rowOff>
    </xdr:to>
    <xdr:sp macro="" textlink="">
      <xdr:nvSpPr>
        <xdr:cNvPr id="18441" name="Rectangle 9"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16</xdr:col>
      <xdr:colOff>0</xdr:colOff>
      <xdr:row>22</xdr:row>
      <xdr:rowOff>0</xdr:rowOff>
    </xdr:from>
    <xdr:to>
      <xdr:col>17</xdr:col>
      <xdr:colOff>123825</xdr:colOff>
      <xdr:row>23</xdr:row>
      <xdr:rowOff>133350</xdr:rowOff>
    </xdr:to>
    <xdr:pic>
      <xdr:nvPicPr>
        <xdr:cNvPr id="2" name="image26.png" title="Image"/>
        <xdr:cNvPicPr preferRelativeResize="0"/>
      </xdr:nvPicPr>
      <xdr:blipFill>
        <a:blip xmlns:r="http://schemas.openxmlformats.org/officeDocument/2006/relationships" r:embed="rId1" cstate="print"/>
        <a:stretch>
          <a:fillRect/>
        </a:stretch>
      </xdr:blipFill>
      <xdr:spPr>
        <a:xfrm>
          <a:off x="14144625" y="3743325"/>
          <a:ext cx="942975" cy="295275"/>
        </a:xfrm>
        <a:prstGeom prst="rect">
          <a:avLst/>
        </a:prstGeom>
        <a:noFill/>
      </xdr:spPr>
    </xdr:pic>
    <xdr:clientData fLocksWithSheet="0"/>
  </xdr:twoCellAnchor>
</xdr:wsDr>
</file>

<file path=xl/drawings/drawing30.xml><?xml version="1.0" encoding="utf-8"?>
<xdr:wsDr xmlns:xdr="http://schemas.openxmlformats.org/drawingml/2006/spreadsheetDrawing" xmlns:a="http://schemas.openxmlformats.org/drawingml/2006/main">
  <xdr:twoCellAnchor>
    <xdr:from>
      <xdr:col>14</xdr:col>
      <xdr:colOff>66675</xdr:colOff>
      <xdr:row>17</xdr:row>
      <xdr:rowOff>95250</xdr:rowOff>
    </xdr:from>
    <xdr:to>
      <xdr:col>15</xdr:col>
      <xdr:colOff>190500</xdr:colOff>
      <xdr:row>18</xdr:row>
      <xdr:rowOff>190500</xdr:rowOff>
    </xdr:to>
    <xdr:pic>
      <xdr:nvPicPr>
        <xdr:cNvPr id="2" name="image26.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9</xdr:col>
      <xdr:colOff>895350</xdr:colOff>
      <xdr:row>46</xdr:row>
      <xdr:rowOff>180975</xdr:rowOff>
    </xdr:to>
    <xdr:sp macro="" textlink="">
      <xdr:nvSpPr>
        <xdr:cNvPr id="20566" name="Rectangle 8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1.xml><?xml version="1.0" encoding="utf-8"?>
<xdr:wsDr xmlns:xdr="http://schemas.openxmlformats.org/drawingml/2006/spreadsheetDrawing" xmlns:a="http://schemas.openxmlformats.org/drawingml/2006/main">
  <xdr:twoCellAnchor>
    <xdr:from>
      <xdr:col>15</xdr:col>
      <xdr:colOff>19050</xdr:colOff>
      <xdr:row>16</xdr:row>
      <xdr:rowOff>28575</xdr:rowOff>
    </xdr:from>
    <xdr:to>
      <xdr:col>16</xdr:col>
      <xdr:colOff>142875</xdr:colOff>
      <xdr:row>17</xdr:row>
      <xdr:rowOff>123825</xdr:rowOff>
    </xdr:to>
    <xdr:pic>
      <xdr:nvPicPr>
        <xdr:cNvPr id="2" name="image28.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14</xdr:col>
      <xdr:colOff>504825</xdr:colOff>
      <xdr:row>47</xdr:row>
      <xdr:rowOff>9525</xdr:rowOff>
    </xdr:to>
    <xdr:sp macro="" textlink="">
      <xdr:nvSpPr>
        <xdr:cNvPr id="2150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1133475</xdr:colOff>
      <xdr:row>14</xdr:row>
      <xdr:rowOff>76200</xdr:rowOff>
    </xdr:from>
    <xdr:to>
      <xdr:col>5</xdr:col>
      <xdr:colOff>819150</xdr:colOff>
      <xdr:row>15</xdr:row>
      <xdr:rowOff>180975</xdr:rowOff>
    </xdr:to>
    <xdr:pic>
      <xdr:nvPicPr>
        <xdr:cNvPr id="2" name="image27.png" title="Image"/>
        <xdr:cNvPicPr preferRelativeResize="0"/>
      </xdr:nvPicPr>
      <xdr:blipFill>
        <a:blip xmlns:r="http://schemas.openxmlformats.org/officeDocument/2006/relationships" r:embed="rId1" cstate="print"/>
        <a:stretch>
          <a:fillRect/>
        </a:stretch>
      </xdr:blipFill>
      <xdr:spPr>
        <a:xfrm>
          <a:off x="0" y="0"/>
          <a:ext cx="838200" cy="295275"/>
        </a:xfrm>
        <a:prstGeom prst="rect">
          <a:avLst/>
        </a:prstGeom>
        <a:noFill/>
      </xdr:spPr>
    </xdr:pic>
    <xdr:clientData fLocksWithSheet="0"/>
  </xdr:twoCellAnchor>
  <xdr:twoCellAnchor>
    <xdr:from>
      <xdr:col>0</xdr:col>
      <xdr:colOff>0</xdr:colOff>
      <xdr:row>0</xdr:row>
      <xdr:rowOff>0</xdr:rowOff>
    </xdr:from>
    <xdr:to>
      <xdr:col>7</xdr:col>
      <xdr:colOff>323850</xdr:colOff>
      <xdr:row>50</xdr:row>
      <xdr:rowOff>0</xdr:rowOff>
    </xdr:to>
    <xdr:sp macro="" textlink="">
      <xdr:nvSpPr>
        <xdr:cNvPr id="3079"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9.xml"/><Relationship Id="rId1" Type="http://schemas.openxmlformats.org/officeDocument/2006/relationships/printerSettings" Target="../printerSettings/printerSettings1.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2"/>
  <sheetViews>
    <sheetView workbookViewId="0">
      <pane xSplit="1" ySplit="2" topLeftCell="F3" activePane="bottomRight" state="frozen"/>
      <selection pane="topRight" activeCell="B1" sqref="B1"/>
      <selection pane="bottomLeft" activeCell="A3" sqref="A3"/>
      <selection pane="bottomRight" activeCell="O7" sqref="O7:U17"/>
    </sheetView>
  </sheetViews>
  <sheetFormatPr defaultColWidth="17.25" defaultRowHeight="15" customHeight="1" x14ac:dyDescent="0.2"/>
  <cols>
    <col min="1" max="1" width="26.75" customWidth="1"/>
    <col min="2" max="5" width="8.625" customWidth="1"/>
    <col min="6" max="6" width="11.875" customWidth="1"/>
    <col min="7" max="7" width="15.125" customWidth="1"/>
    <col min="8" max="8" width="11.75" customWidth="1"/>
    <col min="9" max="10" width="9.875" customWidth="1"/>
    <col min="11" max="11" width="10.25" customWidth="1"/>
    <col min="12" max="12" width="11.625" customWidth="1"/>
    <col min="13" max="13" width="10.25" customWidth="1"/>
    <col min="14" max="14" width="8.125" customWidth="1"/>
    <col min="15" max="15" width="8.625" customWidth="1"/>
    <col min="16" max="23" width="8.125" customWidth="1"/>
  </cols>
  <sheetData>
    <row r="1" spans="1:23" ht="18" customHeight="1" x14ac:dyDescent="0.25">
      <c r="A1" s="1"/>
      <c r="B1" s="622" t="s">
        <v>0</v>
      </c>
      <c r="C1" s="623"/>
      <c r="D1" s="623"/>
      <c r="E1" s="623"/>
      <c r="F1" s="623"/>
      <c r="G1" s="623"/>
      <c r="H1" s="623"/>
      <c r="I1" s="623"/>
      <c r="J1" s="623"/>
      <c r="K1" s="623"/>
      <c r="L1" s="623"/>
      <c r="M1" s="623"/>
      <c r="N1" s="623"/>
      <c r="O1" s="623"/>
      <c r="P1" s="1"/>
      <c r="Q1" s="1"/>
      <c r="R1" s="1"/>
      <c r="S1" s="1"/>
      <c r="T1" s="1"/>
      <c r="U1" s="1"/>
      <c r="V1" s="1"/>
      <c r="W1" s="1"/>
    </row>
    <row r="2" spans="1:23" ht="15.75" customHeight="1" x14ac:dyDescent="0.25">
      <c r="A2" s="3"/>
      <c r="B2" s="4">
        <v>1984</v>
      </c>
      <c r="C2" s="4">
        <v>1988</v>
      </c>
      <c r="D2" s="4">
        <v>1992</v>
      </c>
      <c r="E2" s="4">
        <v>1996</v>
      </c>
      <c r="F2" s="4">
        <v>2000</v>
      </c>
      <c r="G2" s="4">
        <v>2004</v>
      </c>
      <c r="H2" s="4">
        <v>2008</v>
      </c>
      <c r="I2" s="4">
        <v>2010</v>
      </c>
      <c r="J2" s="4">
        <v>2011</v>
      </c>
      <c r="K2" s="4">
        <v>2012</v>
      </c>
      <c r="L2" s="4">
        <v>2013</v>
      </c>
      <c r="M2" s="4">
        <v>2014</v>
      </c>
      <c r="N2" s="3"/>
      <c r="O2" s="3"/>
      <c r="P2" s="3"/>
      <c r="Q2" s="3"/>
      <c r="R2" s="3"/>
      <c r="S2" s="3"/>
      <c r="T2" s="4"/>
      <c r="U2" s="4"/>
      <c r="V2" s="4"/>
      <c r="W2" s="4"/>
    </row>
    <row r="3" spans="1:23" ht="15.75" customHeight="1" x14ac:dyDescent="0.25">
      <c r="A3" s="5" t="s">
        <v>1</v>
      </c>
      <c r="B3" s="6">
        <v>8874.7000000000007</v>
      </c>
      <c r="C3" s="6">
        <v>9017.9</v>
      </c>
      <c r="D3" s="6">
        <v>9161</v>
      </c>
      <c r="E3" s="6">
        <v>9851</v>
      </c>
      <c r="F3" s="6">
        <v>12739.6</v>
      </c>
      <c r="G3" s="6">
        <v>9776.5</v>
      </c>
      <c r="H3" s="6">
        <v>10219.237479081967</v>
      </c>
      <c r="I3" s="6">
        <v>9015.7872636065567</v>
      </c>
      <c r="J3" s="6">
        <v>8794.6961393170732</v>
      </c>
      <c r="K3" s="6">
        <v>8357.2000000000007</v>
      </c>
      <c r="L3" s="6">
        <v>7996.2847615573</v>
      </c>
      <c r="M3" s="8">
        <f>M4+M5</f>
        <v>7681.6</v>
      </c>
      <c r="N3" s="9"/>
      <c r="O3" s="9"/>
      <c r="P3" s="9"/>
      <c r="Q3" s="9"/>
      <c r="R3" s="9"/>
      <c r="S3" s="9"/>
      <c r="T3" s="11"/>
      <c r="U3" s="11"/>
      <c r="V3" s="11"/>
      <c r="W3" s="11"/>
    </row>
    <row r="4" spans="1:23" ht="15.75" customHeight="1" x14ac:dyDescent="0.25">
      <c r="A4" s="13" t="s">
        <v>3</v>
      </c>
      <c r="B4" s="14"/>
      <c r="C4" s="14"/>
      <c r="D4" s="14"/>
      <c r="E4" s="14"/>
      <c r="F4" s="14">
        <v>11510</v>
      </c>
      <c r="G4" s="14">
        <v>8677.7999999999993</v>
      </c>
      <c r="H4" s="14">
        <v>7724.8374790819671</v>
      </c>
      <c r="I4" s="14">
        <v>6892.1872636065573</v>
      </c>
      <c r="J4" s="14">
        <v>6747.9961393170734</v>
      </c>
      <c r="K4" s="14">
        <v>6345</v>
      </c>
      <c r="L4" s="14">
        <v>6018.2000000000007</v>
      </c>
      <c r="M4" s="15">
        <v>5748</v>
      </c>
      <c r="N4" s="16"/>
      <c r="O4" s="18"/>
      <c r="P4" s="18"/>
      <c r="Q4" s="18"/>
      <c r="R4" s="18"/>
      <c r="S4" s="18"/>
      <c r="T4" s="19"/>
      <c r="U4" s="19"/>
      <c r="V4" s="19"/>
      <c r="W4" s="19"/>
    </row>
    <row r="5" spans="1:23" ht="15.75" customHeight="1" x14ac:dyDescent="0.25">
      <c r="A5" s="13" t="s">
        <v>4</v>
      </c>
      <c r="B5" s="20"/>
      <c r="C5" s="20"/>
      <c r="D5" s="20"/>
      <c r="E5" s="20"/>
      <c r="F5" s="14">
        <v>1229.5999999999999</v>
      </c>
      <c r="G5" s="14">
        <v>1098.7</v>
      </c>
      <c r="H5" s="14">
        <v>2494.4</v>
      </c>
      <c r="I5" s="14">
        <v>2123.6</v>
      </c>
      <c r="J5" s="14">
        <v>2046.6999999999998</v>
      </c>
      <c r="K5" s="14">
        <v>2012.1999999999998</v>
      </c>
      <c r="L5" s="14">
        <v>1978.0847615572993</v>
      </c>
      <c r="M5" s="15">
        <v>1933.6</v>
      </c>
      <c r="N5" s="16"/>
      <c r="O5" s="18"/>
      <c r="P5" s="18"/>
      <c r="Q5" s="18"/>
      <c r="R5" s="18"/>
      <c r="S5" s="18"/>
      <c r="T5" s="19"/>
      <c r="U5" s="19"/>
      <c r="V5" s="19"/>
      <c r="W5" s="19"/>
    </row>
    <row r="6" spans="1:23" ht="15.75" customHeight="1" x14ac:dyDescent="0.25">
      <c r="A6" s="21" t="s">
        <v>5</v>
      </c>
      <c r="B6" s="6">
        <v>282.2</v>
      </c>
      <c r="C6" s="6">
        <v>385.1</v>
      </c>
      <c r="D6" s="6">
        <v>543.29999999999995</v>
      </c>
      <c r="E6" s="6">
        <v>595</v>
      </c>
      <c r="F6" s="6" t="s">
        <v>6</v>
      </c>
      <c r="G6" s="6"/>
      <c r="H6" s="6"/>
      <c r="I6" s="6"/>
      <c r="J6" s="22"/>
      <c r="K6" s="23"/>
      <c r="L6" s="23"/>
      <c r="M6" s="6"/>
      <c r="N6" s="24"/>
      <c r="O6" s="24"/>
      <c r="P6" s="25"/>
      <c r="Q6" s="25"/>
      <c r="R6" s="24"/>
      <c r="S6" s="25"/>
      <c r="T6" s="24"/>
      <c r="U6" s="24"/>
      <c r="V6" s="24"/>
      <c r="W6" s="24"/>
    </row>
    <row r="7" spans="1:23" ht="15.75" customHeight="1" x14ac:dyDescent="0.25">
      <c r="A7" s="21" t="s">
        <v>7</v>
      </c>
      <c r="B7" s="6">
        <v>229.6</v>
      </c>
      <c r="C7" s="6">
        <v>278.10000000000002</v>
      </c>
      <c r="D7" s="6">
        <v>349.1</v>
      </c>
      <c r="E7" s="6">
        <v>446.8</v>
      </c>
      <c r="F7" s="6" t="s">
        <v>6</v>
      </c>
      <c r="G7" s="6"/>
      <c r="H7" s="6"/>
      <c r="I7" s="6"/>
      <c r="J7" s="22"/>
      <c r="K7" s="23"/>
      <c r="L7" s="23"/>
      <c r="M7" s="6"/>
      <c r="N7" s="24"/>
      <c r="O7" s="628" t="s">
        <v>8</v>
      </c>
      <c r="P7" s="623"/>
      <c r="Q7" s="623"/>
      <c r="R7" s="623"/>
      <c r="S7" s="623"/>
      <c r="T7" s="623"/>
      <c r="U7" s="623"/>
      <c r="W7" s="24"/>
    </row>
    <row r="8" spans="1:23" ht="15.75" customHeight="1" x14ac:dyDescent="0.25">
      <c r="A8" s="21" t="s">
        <v>9</v>
      </c>
      <c r="B8" s="6">
        <v>127</v>
      </c>
      <c r="C8" s="6">
        <v>192.5</v>
      </c>
      <c r="D8" s="6">
        <v>272.7</v>
      </c>
      <c r="E8" s="6">
        <v>317.8</v>
      </c>
      <c r="F8" s="6" t="s">
        <v>6</v>
      </c>
      <c r="G8" s="6"/>
      <c r="H8" s="6"/>
      <c r="I8" s="6"/>
      <c r="J8" s="22"/>
      <c r="K8" s="23"/>
      <c r="L8" s="23"/>
      <c r="M8" s="6"/>
      <c r="N8" s="24"/>
      <c r="O8" s="623"/>
      <c r="P8" s="623"/>
      <c r="Q8" s="623"/>
      <c r="R8" s="623"/>
      <c r="S8" s="623"/>
      <c r="T8" s="623"/>
      <c r="U8" s="623"/>
      <c r="W8" s="24"/>
    </row>
    <row r="9" spans="1:23" ht="15.75" customHeight="1" x14ac:dyDescent="0.25">
      <c r="A9" s="21" t="s">
        <v>10</v>
      </c>
      <c r="B9" s="6">
        <v>13.3</v>
      </c>
      <c r="C9" s="6">
        <v>18.100000000000001</v>
      </c>
      <c r="D9" s="6">
        <v>25.5</v>
      </c>
      <c r="E9" s="6">
        <v>27.9</v>
      </c>
      <c r="F9" s="6" t="s">
        <v>6</v>
      </c>
      <c r="G9" s="6"/>
      <c r="H9" s="6"/>
      <c r="I9" s="6"/>
      <c r="J9" s="22"/>
      <c r="K9" s="23"/>
      <c r="L9" s="23"/>
      <c r="M9" s="6"/>
      <c r="N9" s="24"/>
      <c r="O9" s="623"/>
      <c r="P9" s="623"/>
      <c r="Q9" s="623"/>
      <c r="R9" s="623"/>
      <c r="S9" s="623"/>
      <c r="T9" s="623"/>
      <c r="U9" s="623"/>
      <c r="W9" s="25"/>
    </row>
    <row r="10" spans="1:23" ht="15.75" customHeight="1" x14ac:dyDescent="0.25">
      <c r="A10" s="21" t="s">
        <v>11</v>
      </c>
      <c r="B10" s="6"/>
      <c r="C10" s="6"/>
      <c r="D10" s="6">
        <v>1268.2</v>
      </c>
      <c r="E10" s="6">
        <v>1677.2</v>
      </c>
      <c r="F10" s="23">
        <v>4428.4935422848002</v>
      </c>
      <c r="G10" s="26">
        <v>4105.1000000000004</v>
      </c>
      <c r="H10" s="26">
        <v>4205.8999999999996</v>
      </c>
      <c r="I10" s="26">
        <v>3710.3</v>
      </c>
      <c r="J10" s="26">
        <v>3635.9</v>
      </c>
      <c r="K10" s="26">
        <v>3586.4</v>
      </c>
      <c r="L10" s="27">
        <v>3620.3</v>
      </c>
      <c r="M10" s="26">
        <v>3547.6</v>
      </c>
      <c r="N10" s="28"/>
      <c r="O10" s="623"/>
      <c r="P10" s="623"/>
      <c r="Q10" s="623"/>
      <c r="R10" s="623"/>
      <c r="S10" s="623"/>
      <c r="T10" s="623"/>
      <c r="U10" s="623"/>
      <c r="W10" s="25"/>
    </row>
    <row r="11" spans="1:23" ht="15.75" customHeight="1" x14ac:dyDescent="0.25">
      <c r="A11" s="21" t="s">
        <v>12</v>
      </c>
      <c r="B11" s="6">
        <v>1482.3</v>
      </c>
      <c r="C11" s="6">
        <v>1912</v>
      </c>
      <c r="D11" s="6">
        <v>1977.4</v>
      </c>
      <c r="E11" s="6">
        <v>2449.1</v>
      </c>
      <c r="F11" s="6" t="s">
        <v>13</v>
      </c>
      <c r="G11" s="6"/>
      <c r="H11" s="6"/>
      <c r="I11" s="6"/>
      <c r="J11" s="22"/>
      <c r="K11" s="23"/>
      <c r="L11" s="6"/>
      <c r="M11" s="23"/>
      <c r="N11" s="25"/>
      <c r="O11" s="623"/>
      <c r="P11" s="623"/>
      <c r="Q11" s="623"/>
      <c r="R11" s="623"/>
      <c r="S11" s="623"/>
      <c r="T11" s="623"/>
      <c r="U11" s="623"/>
      <c r="W11" s="25"/>
    </row>
    <row r="12" spans="1:23" ht="15.75" customHeight="1" x14ac:dyDescent="0.25">
      <c r="A12" s="21" t="s">
        <v>14</v>
      </c>
      <c r="B12" s="6">
        <v>971.2</v>
      </c>
      <c r="C12" s="6">
        <v>1071.4000000000001</v>
      </c>
      <c r="D12" s="6" t="s">
        <v>13</v>
      </c>
      <c r="E12" s="6"/>
      <c r="F12" s="6"/>
      <c r="G12" s="6"/>
      <c r="H12" s="6"/>
      <c r="I12" s="6"/>
      <c r="J12" s="22"/>
      <c r="K12" s="23"/>
      <c r="L12" s="6"/>
      <c r="M12" s="23"/>
      <c r="N12" s="25"/>
      <c r="O12" s="623"/>
      <c r="P12" s="623"/>
      <c r="Q12" s="623"/>
      <c r="R12" s="623"/>
      <c r="S12" s="623"/>
      <c r="T12" s="623"/>
      <c r="U12" s="623"/>
      <c r="W12" s="25"/>
    </row>
    <row r="13" spans="1:23" ht="15.75" customHeight="1" x14ac:dyDescent="0.25">
      <c r="A13" s="21" t="s">
        <v>15</v>
      </c>
      <c r="B13" s="6">
        <v>272.60000000000002</v>
      </c>
      <c r="C13" s="6">
        <v>454.6</v>
      </c>
      <c r="D13" s="6">
        <v>506.3</v>
      </c>
      <c r="E13" s="6">
        <v>528.6</v>
      </c>
      <c r="F13" s="6">
        <v>818.30000000000007</v>
      </c>
      <c r="G13" s="23">
        <v>1287.5999999999999</v>
      </c>
      <c r="H13" s="6">
        <v>1446.5</v>
      </c>
      <c r="I13" s="6">
        <v>1294.8</v>
      </c>
      <c r="J13" s="22">
        <v>1272.6000000000001</v>
      </c>
      <c r="K13" s="23">
        <v>1188.1000000000004</v>
      </c>
      <c r="L13" s="23">
        <v>1093.5999999999999</v>
      </c>
      <c r="M13" s="26">
        <v>1066.5</v>
      </c>
      <c r="N13" s="24"/>
      <c r="O13" s="623"/>
      <c r="P13" s="623"/>
      <c r="Q13" s="623"/>
      <c r="R13" s="623"/>
      <c r="S13" s="623"/>
      <c r="T13" s="623"/>
      <c r="U13" s="623"/>
      <c r="W13" s="25"/>
    </row>
    <row r="14" spans="1:23" ht="15.75" customHeight="1" x14ac:dyDescent="0.25">
      <c r="A14" s="5" t="s">
        <v>16</v>
      </c>
      <c r="B14" s="6"/>
      <c r="C14" s="6"/>
      <c r="D14" s="6"/>
      <c r="E14" s="6">
        <v>6.3</v>
      </c>
      <c r="F14" s="6">
        <v>20.8</v>
      </c>
      <c r="G14" s="6">
        <v>43.8</v>
      </c>
      <c r="H14" s="23">
        <v>489.13792666666666</v>
      </c>
      <c r="I14" s="23">
        <v>553.17302293120656</v>
      </c>
      <c r="J14" s="23">
        <v>560.26007414448668</v>
      </c>
      <c r="K14" s="23">
        <v>580.7248491620112</v>
      </c>
      <c r="L14" s="23">
        <v>604.1</v>
      </c>
      <c r="M14" s="29">
        <v>718</v>
      </c>
      <c r="N14" s="11"/>
      <c r="O14" s="623"/>
      <c r="P14" s="623"/>
      <c r="Q14" s="623"/>
      <c r="R14" s="623"/>
      <c r="S14" s="623"/>
      <c r="T14" s="623"/>
      <c r="U14" s="623"/>
      <c r="W14" s="11"/>
    </row>
    <row r="15" spans="1:23" ht="15.75" customHeight="1" x14ac:dyDescent="0.25">
      <c r="A15" s="21" t="s">
        <v>17</v>
      </c>
      <c r="B15" s="6"/>
      <c r="C15" s="6"/>
      <c r="D15" s="6"/>
      <c r="E15" s="6"/>
      <c r="F15" s="6"/>
      <c r="G15" s="23"/>
      <c r="H15" s="6">
        <v>514.20000000000005</v>
      </c>
      <c r="I15" s="6">
        <v>506</v>
      </c>
      <c r="J15" s="22">
        <v>478</v>
      </c>
      <c r="K15" s="23">
        <v>477</v>
      </c>
      <c r="L15" s="23">
        <v>498</v>
      </c>
      <c r="M15" s="26">
        <v>478</v>
      </c>
      <c r="N15" s="25"/>
      <c r="O15" s="623"/>
      <c r="P15" s="623"/>
      <c r="Q15" s="623"/>
      <c r="R15" s="623"/>
      <c r="S15" s="623"/>
      <c r="T15" s="623"/>
      <c r="U15" s="623"/>
      <c r="W15" s="25"/>
    </row>
    <row r="16" spans="1:23" ht="15.75" customHeight="1" x14ac:dyDescent="0.25">
      <c r="A16" s="21" t="s">
        <v>18</v>
      </c>
      <c r="B16" s="6"/>
      <c r="C16" s="6"/>
      <c r="D16" s="6"/>
      <c r="E16" s="6"/>
      <c r="F16" s="6"/>
      <c r="G16" s="6">
        <v>10.6</v>
      </c>
      <c r="H16" s="6">
        <v>368.4</v>
      </c>
      <c r="I16" s="6">
        <v>409.9</v>
      </c>
      <c r="J16" s="22">
        <v>436.7</v>
      </c>
      <c r="K16" s="6">
        <v>454.9</v>
      </c>
      <c r="L16" s="6">
        <v>473.8</v>
      </c>
      <c r="M16" s="27">
        <v>475.1</v>
      </c>
      <c r="N16" s="24"/>
      <c r="O16" s="623"/>
      <c r="P16" s="623"/>
      <c r="Q16" s="623"/>
      <c r="R16" s="623"/>
      <c r="S16" s="623"/>
      <c r="T16" s="623"/>
      <c r="U16" s="623"/>
      <c r="W16" s="25"/>
    </row>
    <row r="17" spans="1:23" ht="15.75" customHeight="1" x14ac:dyDescent="0.25">
      <c r="A17" s="21" t="s">
        <v>19</v>
      </c>
      <c r="B17" s="6">
        <v>382.7</v>
      </c>
      <c r="C17" s="6">
        <v>513.4</v>
      </c>
      <c r="D17" s="6">
        <v>573.5</v>
      </c>
      <c r="E17" s="6">
        <v>608.70000000000005</v>
      </c>
      <c r="F17" s="6">
        <v>559.60716038066482</v>
      </c>
      <c r="G17" s="6">
        <v>601.13987215973691</v>
      </c>
      <c r="H17" s="6">
        <v>476.88530349247685</v>
      </c>
      <c r="I17" s="6">
        <v>418.46933831501195</v>
      </c>
      <c r="J17" s="22">
        <v>364.86049104854499</v>
      </c>
      <c r="K17" s="23">
        <v>384.87820169940045</v>
      </c>
      <c r="L17" s="23">
        <v>385.23413066902845</v>
      </c>
      <c r="M17" s="30">
        <v>379.7</v>
      </c>
      <c r="N17" s="31"/>
      <c r="O17" s="623"/>
      <c r="P17" s="623"/>
      <c r="Q17" s="623"/>
      <c r="R17" s="623"/>
      <c r="S17" s="623"/>
      <c r="T17" s="623"/>
      <c r="U17" s="623"/>
      <c r="W17" s="25"/>
    </row>
    <row r="18" spans="1:23" ht="15.75" customHeight="1" x14ac:dyDescent="0.25">
      <c r="A18" s="5" t="s">
        <v>20</v>
      </c>
      <c r="B18" s="6"/>
      <c r="C18" s="6"/>
      <c r="D18" s="6"/>
      <c r="E18" s="6"/>
      <c r="F18" s="6"/>
      <c r="G18" s="6"/>
      <c r="H18" s="23">
        <v>79.2</v>
      </c>
      <c r="I18" s="23">
        <v>180.40287337986044</v>
      </c>
      <c r="J18" s="23">
        <v>190.05043726235741</v>
      </c>
      <c r="K18" s="23">
        <v>209.40211173184355</v>
      </c>
      <c r="L18" s="23">
        <v>219.20593200000008</v>
      </c>
      <c r="M18" s="29">
        <v>180.1</v>
      </c>
      <c r="N18" s="11"/>
      <c r="O18" s="11"/>
      <c r="P18" s="11"/>
      <c r="Q18" s="11"/>
      <c r="R18" s="11"/>
      <c r="S18" s="9"/>
      <c r="T18" s="9"/>
      <c r="U18" s="11"/>
      <c r="V18" s="9"/>
      <c r="W18" s="9"/>
    </row>
    <row r="19" spans="1:23" ht="15.75" customHeight="1" x14ac:dyDescent="0.25">
      <c r="A19" s="5" t="s">
        <v>21</v>
      </c>
      <c r="B19" s="6"/>
      <c r="C19" s="6"/>
      <c r="D19" s="6"/>
      <c r="E19" s="6"/>
      <c r="F19" s="6">
        <v>2.1</v>
      </c>
      <c r="G19" s="6">
        <v>27.4</v>
      </c>
      <c r="H19" s="6">
        <v>56.868000000000002</v>
      </c>
      <c r="I19" s="6">
        <v>99.148139999999998</v>
      </c>
      <c r="J19" s="22">
        <v>97.223286000000002</v>
      </c>
      <c r="K19" s="23">
        <v>109.280862</v>
      </c>
      <c r="L19" s="6">
        <v>115.2</v>
      </c>
      <c r="M19" s="29">
        <v>118.3</v>
      </c>
      <c r="N19" s="11"/>
      <c r="O19" s="11"/>
      <c r="P19" s="11"/>
      <c r="Q19" s="11"/>
      <c r="R19" s="11"/>
      <c r="S19" s="9"/>
      <c r="T19" s="9"/>
      <c r="U19" s="9"/>
      <c r="V19" s="9"/>
      <c r="W19" s="9"/>
    </row>
    <row r="20" spans="1:23" ht="15.75" customHeight="1" x14ac:dyDescent="0.25">
      <c r="A20" s="5" t="s">
        <v>22</v>
      </c>
      <c r="B20" s="6"/>
      <c r="C20" s="6"/>
      <c r="D20" s="6"/>
      <c r="E20" s="6"/>
      <c r="F20" s="6">
        <v>149.19999999999999</v>
      </c>
      <c r="G20" s="6">
        <v>264.3</v>
      </c>
      <c r="H20" s="6">
        <v>230.2</v>
      </c>
      <c r="I20" s="6">
        <v>198.5</v>
      </c>
      <c r="J20" s="22">
        <v>182.5</v>
      </c>
      <c r="K20" s="6">
        <v>128.80000000000001</v>
      </c>
      <c r="L20" s="27">
        <v>114.1</v>
      </c>
      <c r="M20" s="29">
        <v>114.1</v>
      </c>
      <c r="N20" s="9"/>
      <c r="O20" s="9"/>
      <c r="P20" s="9"/>
      <c r="Q20" s="9"/>
      <c r="R20" s="9"/>
      <c r="S20" s="9"/>
      <c r="T20" s="9"/>
      <c r="U20" s="9"/>
      <c r="V20" s="9"/>
      <c r="W20" s="9"/>
    </row>
    <row r="21" spans="1:23" ht="15.75" customHeight="1" x14ac:dyDescent="0.25">
      <c r="A21" s="5" t="s">
        <v>23</v>
      </c>
      <c r="B21" s="6"/>
      <c r="C21" s="6"/>
      <c r="D21" s="6"/>
      <c r="E21" s="6">
        <v>75</v>
      </c>
      <c r="F21" s="6" t="s">
        <v>24</v>
      </c>
      <c r="G21" s="6"/>
      <c r="H21" s="6"/>
      <c r="I21" s="6"/>
      <c r="J21" s="22"/>
      <c r="K21" s="23"/>
      <c r="L21" s="6"/>
      <c r="M21" s="32"/>
      <c r="N21" s="9"/>
      <c r="O21" s="9"/>
      <c r="P21" s="9"/>
      <c r="Q21" s="9"/>
      <c r="R21" s="9"/>
      <c r="S21" s="9"/>
      <c r="T21" s="9"/>
      <c r="U21" s="9"/>
      <c r="V21" s="9"/>
      <c r="W21" s="9"/>
    </row>
    <row r="22" spans="1:23" ht="15.75" customHeight="1" x14ac:dyDescent="0.25">
      <c r="A22" s="5" t="s">
        <v>25</v>
      </c>
      <c r="B22" s="6"/>
      <c r="C22" s="6"/>
      <c r="D22" s="6"/>
      <c r="E22" s="6"/>
      <c r="F22" s="6"/>
      <c r="G22" s="6"/>
      <c r="H22" s="6">
        <v>34.799999999999997</v>
      </c>
      <c r="I22" s="6">
        <v>30.7</v>
      </c>
      <c r="J22" s="22">
        <v>32.1</v>
      </c>
      <c r="K22" s="6">
        <v>32.5</v>
      </c>
      <c r="L22" s="6">
        <v>32.299999999999997</v>
      </c>
      <c r="M22" s="29">
        <v>30.3</v>
      </c>
      <c r="N22" s="11"/>
      <c r="O22" s="11"/>
      <c r="P22" s="9"/>
      <c r="Q22" s="9"/>
      <c r="R22" s="9"/>
      <c r="S22" s="9"/>
      <c r="T22" s="9"/>
      <c r="U22" s="9"/>
      <c r="V22" s="9"/>
      <c r="W22" s="9"/>
    </row>
    <row r="23" spans="1:23" ht="15.75" customHeight="1" x14ac:dyDescent="0.25">
      <c r="A23" s="5" t="s">
        <v>26</v>
      </c>
      <c r="B23" s="6"/>
      <c r="C23" s="6"/>
      <c r="D23" s="6"/>
      <c r="E23" s="6"/>
      <c r="F23" s="6"/>
      <c r="G23" s="6">
        <v>3.7473800000000002</v>
      </c>
      <c r="H23" s="6">
        <v>4.5999999999999996</v>
      </c>
      <c r="I23" s="23">
        <v>6.2</v>
      </c>
      <c r="J23" s="6">
        <v>6.5</v>
      </c>
      <c r="K23" s="6">
        <v>6.9</v>
      </c>
      <c r="L23" s="6">
        <v>7.4255999999999993</v>
      </c>
      <c r="M23" s="33">
        <v>8.2270000000000003</v>
      </c>
      <c r="N23" s="11"/>
      <c r="O23" s="11"/>
      <c r="P23" s="11"/>
      <c r="Q23" s="11"/>
      <c r="R23" s="11"/>
      <c r="S23" s="9"/>
      <c r="T23" s="9"/>
      <c r="U23" s="9"/>
      <c r="V23" s="9"/>
      <c r="W23" s="9"/>
    </row>
    <row r="24" spans="1:23" ht="15.75" customHeight="1" x14ac:dyDescent="0.25">
      <c r="A24" s="5" t="s">
        <v>27</v>
      </c>
      <c r="B24" s="6"/>
      <c r="C24" s="6"/>
      <c r="D24" s="6"/>
      <c r="E24" s="6"/>
      <c r="F24" s="6">
        <v>1458.9</v>
      </c>
      <c r="G24" s="6" t="s">
        <v>28</v>
      </c>
      <c r="H24" s="6"/>
      <c r="I24" s="6"/>
      <c r="J24" s="22"/>
      <c r="K24" s="6"/>
      <c r="L24" s="6"/>
      <c r="M24" s="32"/>
      <c r="N24" s="11"/>
      <c r="O24" s="11"/>
      <c r="P24" s="11"/>
      <c r="Q24" s="9"/>
      <c r="R24" s="9"/>
      <c r="S24" s="9"/>
      <c r="T24" s="9"/>
      <c r="U24" s="9"/>
      <c r="V24" s="9"/>
      <c r="W24" s="9"/>
    </row>
    <row r="25" spans="1:23" ht="15.75" customHeight="1" x14ac:dyDescent="0.25">
      <c r="A25" s="5" t="s">
        <v>29</v>
      </c>
      <c r="B25" s="6"/>
      <c r="C25" s="6"/>
      <c r="D25" s="6">
        <v>82.8</v>
      </c>
      <c r="E25" s="6">
        <v>712.6</v>
      </c>
      <c r="F25" s="6">
        <v>758.4</v>
      </c>
      <c r="G25" s="6">
        <v>804.2</v>
      </c>
      <c r="H25" s="6" t="s">
        <v>30</v>
      </c>
      <c r="I25" s="6"/>
      <c r="J25" s="22"/>
      <c r="K25" s="6"/>
      <c r="L25" s="6"/>
      <c r="M25" s="32"/>
      <c r="N25" s="11"/>
      <c r="O25" s="11"/>
      <c r="P25" s="9"/>
      <c r="Q25" s="9"/>
      <c r="R25" s="9"/>
      <c r="S25" s="9"/>
      <c r="T25" s="9"/>
      <c r="U25" s="9"/>
      <c r="V25" s="9"/>
      <c r="W25" s="9"/>
    </row>
    <row r="26" spans="1:23" ht="15.75" customHeight="1" x14ac:dyDescent="0.25">
      <c r="A26" s="5" t="s">
        <v>31</v>
      </c>
      <c r="B26" s="6"/>
      <c r="C26" s="6"/>
      <c r="D26" s="6"/>
      <c r="E26" s="6"/>
      <c r="F26" s="6">
        <v>269</v>
      </c>
      <c r="G26" s="6">
        <v>358.5</v>
      </c>
      <c r="H26" s="6" t="s">
        <v>32</v>
      </c>
      <c r="I26" s="6"/>
      <c r="J26" s="22"/>
      <c r="K26" s="6"/>
      <c r="L26" s="6"/>
      <c r="M26" s="32"/>
      <c r="N26" s="11"/>
      <c r="O26" s="11"/>
      <c r="P26" s="9"/>
      <c r="Q26" s="9"/>
      <c r="R26" s="9"/>
      <c r="S26" s="9"/>
      <c r="T26" s="9"/>
      <c r="U26" s="9"/>
      <c r="V26" s="9"/>
      <c r="W26" s="9"/>
    </row>
    <row r="27" spans="1:23" ht="15.75" customHeight="1" x14ac:dyDescent="0.25">
      <c r="A27" s="5" t="s">
        <v>33</v>
      </c>
      <c r="B27" s="6"/>
      <c r="C27" s="6"/>
      <c r="D27" s="6"/>
      <c r="E27" s="6"/>
      <c r="F27" s="6">
        <v>73.3</v>
      </c>
      <c r="G27" s="6" t="s">
        <v>31</v>
      </c>
      <c r="H27" s="6"/>
      <c r="I27" s="6"/>
      <c r="J27" s="22"/>
      <c r="K27" s="6"/>
      <c r="L27" s="6"/>
      <c r="M27" s="32"/>
      <c r="N27" s="11"/>
      <c r="O27" s="11"/>
      <c r="P27" s="9"/>
      <c r="Q27" s="9"/>
      <c r="R27" s="9"/>
      <c r="S27" s="9"/>
      <c r="T27" s="9"/>
      <c r="U27" s="9"/>
      <c r="V27" s="9"/>
      <c r="W27" s="9"/>
    </row>
    <row r="28" spans="1:23" ht="15.75" customHeight="1" x14ac:dyDescent="0.25">
      <c r="A28" s="5" t="s">
        <v>34</v>
      </c>
      <c r="B28" s="6"/>
      <c r="C28" s="6"/>
      <c r="D28" s="6"/>
      <c r="E28" s="6">
        <v>6.3</v>
      </c>
      <c r="F28" s="6">
        <v>20.8</v>
      </c>
      <c r="G28" s="6" t="s">
        <v>35</v>
      </c>
      <c r="H28" s="6"/>
      <c r="I28" s="6"/>
      <c r="J28" s="22"/>
      <c r="K28" s="6"/>
      <c r="L28" s="6"/>
      <c r="M28" s="32"/>
      <c r="N28" s="11"/>
      <c r="O28" s="11"/>
      <c r="P28" s="9"/>
      <c r="Q28" s="9"/>
      <c r="R28" s="9"/>
      <c r="S28" s="9"/>
      <c r="T28" s="9"/>
      <c r="U28" s="9"/>
      <c r="V28" s="9"/>
      <c r="W28" s="9"/>
    </row>
    <row r="29" spans="1:23" ht="15.75" customHeight="1" x14ac:dyDescent="0.25">
      <c r="A29" s="5" t="s">
        <v>36</v>
      </c>
      <c r="B29" s="6"/>
      <c r="C29" s="6"/>
      <c r="D29" s="6"/>
      <c r="E29" s="6"/>
      <c r="F29" s="6">
        <v>71.5</v>
      </c>
      <c r="G29" s="6" t="s">
        <v>37</v>
      </c>
      <c r="H29" s="6"/>
      <c r="I29" s="6"/>
      <c r="J29" s="22"/>
      <c r="K29" s="6"/>
      <c r="L29" s="6"/>
      <c r="M29" s="32"/>
      <c r="N29" s="11"/>
      <c r="O29" s="11"/>
      <c r="P29" s="9"/>
      <c r="Q29" s="9"/>
      <c r="R29" s="9"/>
      <c r="S29" s="9"/>
      <c r="T29" s="9"/>
      <c r="U29" s="9"/>
      <c r="V29" s="9"/>
      <c r="W29" s="9"/>
    </row>
    <row r="30" spans="1:23" ht="15.75" customHeight="1" x14ac:dyDescent="0.25">
      <c r="A30" s="5" t="s">
        <v>38</v>
      </c>
      <c r="B30" s="36"/>
      <c r="C30" s="36"/>
      <c r="D30" s="36"/>
      <c r="E30" s="36"/>
      <c r="F30" s="6">
        <v>6.7</v>
      </c>
      <c r="G30" s="36"/>
      <c r="H30" s="36"/>
      <c r="I30" s="6"/>
      <c r="J30" s="22"/>
      <c r="K30" s="23"/>
      <c r="L30" s="36"/>
      <c r="M30" s="37"/>
      <c r="N30" s="11"/>
      <c r="O30" s="11"/>
      <c r="P30" s="9"/>
      <c r="Q30" s="9"/>
      <c r="R30" s="9"/>
      <c r="S30" s="9"/>
      <c r="T30" s="9"/>
      <c r="U30" s="9"/>
      <c r="V30" s="9"/>
      <c r="W30" s="9"/>
    </row>
    <row r="31" spans="1:23" ht="15.75" customHeight="1" x14ac:dyDescent="0.25">
      <c r="A31" s="5" t="s">
        <v>39</v>
      </c>
      <c r="B31" s="6"/>
      <c r="C31" s="6"/>
      <c r="D31" s="6"/>
      <c r="E31" s="6"/>
      <c r="F31" s="6"/>
      <c r="G31" s="6"/>
      <c r="H31" s="6">
        <v>2.2999999999999998</v>
      </c>
      <c r="I31" s="6">
        <v>2.2999999999999998</v>
      </c>
      <c r="J31" s="22">
        <v>1.6</v>
      </c>
      <c r="K31" s="6"/>
      <c r="L31" s="6"/>
      <c r="M31" s="32"/>
      <c r="N31" s="11"/>
      <c r="O31" s="11"/>
      <c r="P31" s="9"/>
      <c r="Q31" s="9"/>
      <c r="R31" s="9"/>
      <c r="S31" s="9"/>
      <c r="T31" s="9"/>
      <c r="U31" s="9"/>
      <c r="V31" s="9"/>
      <c r="W31" s="9"/>
    </row>
    <row r="32" spans="1:23" ht="15.75" customHeight="1" x14ac:dyDescent="0.25">
      <c r="A32" s="5" t="s">
        <v>40</v>
      </c>
      <c r="B32" s="6">
        <v>151.19999999999999</v>
      </c>
      <c r="C32" s="6">
        <v>164.4</v>
      </c>
      <c r="D32" s="6">
        <v>176.4</v>
      </c>
      <c r="E32" s="6">
        <v>214.8</v>
      </c>
      <c r="F32" s="6">
        <v>278.39999999999998</v>
      </c>
      <c r="G32" s="6">
        <v>369</v>
      </c>
      <c r="H32" s="6">
        <v>440</v>
      </c>
      <c r="I32" s="6">
        <v>417.5</v>
      </c>
      <c r="J32" s="22">
        <v>469.9</v>
      </c>
      <c r="K32" s="6">
        <v>474.4</v>
      </c>
      <c r="L32" s="6">
        <v>459.93527547169811</v>
      </c>
      <c r="M32" s="38">
        <v>506.1</v>
      </c>
      <c r="N32" s="11"/>
      <c r="O32" s="11"/>
      <c r="P32" s="11"/>
      <c r="Q32" s="9"/>
      <c r="R32" s="9"/>
      <c r="S32" s="9"/>
      <c r="T32" s="9"/>
      <c r="U32" s="9"/>
      <c r="V32" s="9"/>
      <c r="W32" s="9"/>
    </row>
    <row r="33" spans="1:23" ht="15.75" customHeight="1" x14ac:dyDescent="0.25">
      <c r="A33" s="9"/>
      <c r="B33" s="24"/>
      <c r="C33" s="24"/>
      <c r="D33" s="24"/>
      <c r="E33" s="24"/>
      <c r="F33" s="24"/>
      <c r="G33" s="24"/>
      <c r="H33" s="24"/>
      <c r="I33" s="24"/>
      <c r="J33" s="24"/>
      <c r="K33" s="24"/>
      <c r="L33" s="24"/>
      <c r="M33" s="24"/>
      <c r="N33" s="11"/>
      <c r="O33" s="11"/>
      <c r="P33" s="11"/>
      <c r="Q33" s="9"/>
      <c r="R33" s="9"/>
      <c r="S33" s="9"/>
      <c r="T33" s="9"/>
      <c r="U33" s="9"/>
      <c r="V33" s="9"/>
      <c r="W33" s="9"/>
    </row>
    <row r="34" spans="1:23" ht="15.75" customHeight="1" x14ac:dyDescent="0.25">
      <c r="A34" s="9"/>
      <c r="B34" s="24"/>
      <c r="C34" s="24"/>
      <c r="D34" s="24"/>
      <c r="E34" s="24"/>
      <c r="F34" s="24"/>
      <c r="G34" s="24"/>
      <c r="H34" s="24"/>
      <c r="I34" s="24"/>
      <c r="J34" s="24"/>
      <c r="K34" s="24"/>
      <c r="L34" s="24"/>
      <c r="M34" s="24"/>
      <c r="N34" s="11"/>
      <c r="O34" s="11"/>
      <c r="P34" s="11"/>
      <c r="Q34" s="9"/>
      <c r="R34" s="9"/>
      <c r="S34" s="9"/>
      <c r="T34" s="9"/>
      <c r="U34" s="9"/>
      <c r="V34" s="9"/>
      <c r="W34" s="9"/>
    </row>
    <row r="35" spans="1:23" ht="15.75" customHeight="1" x14ac:dyDescent="0.25">
      <c r="A35" s="9"/>
      <c r="B35" s="24"/>
      <c r="C35" s="24"/>
      <c r="D35" s="24"/>
      <c r="E35" s="24"/>
      <c r="F35" s="24"/>
      <c r="G35" s="24"/>
      <c r="H35" s="24"/>
      <c r="I35" s="24"/>
      <c r="J35" s="40"/>
      <c r="K35" s="24"/>
      <c r="L35" s="24"/>
      <c r="M35" s="9"/>
      <c r="N35" s="11"/>
      <c r="O35" s="11"/>
      <c r="P35" s="11"/>
      <c r="Q35" s="9"/>
      <c r="R35" s="9"/>
      <c r="S35" s="9"/>
      <c r="T35" s="9"/>
      <c r="U35" s="9"/>
      <c r="V35" s="9"/>
      <c r="W35" s="9"/>
    </row>
    <row r="36" spans="1:23" ht="15.75" customHeight="1" x14ac:dyDescent="0.25">
      <c r="A36" s="41" t="s">
        <v>41</v>
      </c>
      <c r="B36" s="42">
        <v>12787</v>
      </c>
      <c r="C36" s="42">
        <v>14007</v>
      </c>
      <c r="D36" s="42">
        <v>14700</v>
      </c>
      <c r="E36" s="42">
        <v>17900</v>
      </c>
      <c r="F36" s="42">
        <v>21200</v>
      </c>
      <c r="G36" s="42">
        <v>19800</v>
      </c>
      <c r="H36" s="42">
        <v>18000</v>
      </c>
      <c r="I36" s="42">
        <v>16900</v>
      </c>
      <c r="J36" s="43">
        <v>16400</v>
      </c>
      <c r="K36" s="41">
        <v>15900</v>
      </c>
      <c r="L36" s="44">
        <v>15600</v>
      </c>
      <c r="M36" s="45">
        <v>15000</v>
      </c>
      <c r="N36" s="42"/>
      <c r="O36" s="46"/>
      <c r="P36" s="41"/>
      <c r="Q36" s="41"/>
      <c r="R36" s="41"/>
      <c r="S36" s="41"/>
      <c r="T36" s="41"/>
      <c r="U36" s="41"/>
      <c r="V36" s="41"/>
      <c r="W36" s="41"/>
    </row>
    <row r="37" spans="1:23" ht="15.75" customHeight="1" x14ac:dyDescent="0.25">
      <c r="A37" s="41" t="s">
        <v>42</v>
      </c>
      <c r="B37" s="47">
        <f>'Wireline (MS)'!B37</f>
        <v>91.584421678266992</v>
      </c>
      <c r="C37" s="47">
        <f>'Wireline (MS)'!C37</f>
        <v>89.346041265081737</v>
      </c>
      <c r="D37" s="47">
        <f>'Wireline (MS)'!D37</f>
        <v>88.3</v>
      </c>
      <c r="E37" s="47">
        <f>'Wireline (MS)'!E37</f>
        <v>82.066480446927372</v>
      </c>
      <c r="F37" s="47">
        <f>'Wireline (MS)'!F37</f>
        <v>91.723082746626417</v>
      </c>
      <c r="G37" s="47">
        <f>'Wireline (MS)'!G37</f>
        <v>80.673737373737367</v>
      </c>
      <c r="H37" s="47">
        <f>'Wireline (MS)'!H37</f>
        <v>91.032430439344267</v>
      </c>
      <c r="I37" s="47">
        <f>'Wireline (MS)'!I37</f>
        <v>86.23704311560806</v>
      </c>
      <c r="J37" s="47">
        <f>'Wireline (MS)'!J37</f>
        <v>86.972293984521713</v>
      </c>
      <c r="K37" s="47">
        <f>'Wireline (MS)'!K37</f>
        <v>86.241665718000078</v>
      </c>
      <c r="L37" s="47">
        <f>'Wireline (MS)'!L37</f>
        <v>85.347979240751926</v>
      </c>
      <c r="M37" s="47">
        <f>'Wireline (MS)'!M37</f>
        <v>86.757999999999996</v>
      </c>
      <c r="N37" s="11"/>
      <c r="O37" s="11"/>
      <c r="P37" s="9"/>
      <c r="Q37" s="9"/>
      <c r="R37" s="9"/>
      <c r="S37" s="9"/>
      <c r="T37" s="9"/>
      <c r="U37" s="9"/>
      <c r="V37" s="9"/>
      <c r="W37" s="9"/>
    </row>
    <row r="38" spans="1:23" ht="15.75" customHeight="1" x14ac:dyDescent="0.25">
      <c r="A38" s="41" t="s">
        <v>43</v>
      </c>
      <c r="B38" s="48">
        <f>'Wireline (MS)'!B38</f>
        <v>5031.5880111800952</v>
      </c>
      <c r="C38" s="48">
        <f>'Wireline (MS)'!C38</f>
        <v>4427.1752164591235</v>
      </c>
      <c r="D38" s="48">
        <f>'Wireline (MS)'!D38</f>
        <v>4189.2971456337646</v>
      </c>
      <c r="E38" s="48">
        <f>'Wireline (MS)'!E38</f>
        <v>3360.4493907805631</v>
      </c>
      <c r="F38" s="48">
        <f>'Wireline (MS)'!F38</f>
        <v>4131.837829476849</v>
      </c>
      <c r="G38" s="48">
        <f>'Wireline (MS)'!G38</f>
        <v>2941.0006924996701</v>
      </c>
      <c r="H38" s="48">
        <f>'Wireline (MS)'!H38</f>
        <v>3862.5093690521121</v>
      </c>
      <c r="I38" s="48">
        <f>'Wireline (MS)'!I38</f>
        <v>3421.2803516476324</v>
      </c>
      <c r="J38" s="48">
        <f>'Wireline (MS)'!J38</f>
        <v>3462.675423020949</v>
      </c>
      <c r="K38" s="48">
        <f>'Wireline (MS)'!K38</f>
        <v>3366.558239459469</v>
      </c>
      <c r="L38" s="48">
        <f>'Wireline (MS)'!L38</f>
        <v>3258.7267892630334</v>
      </c>
      <c r="M38" s="48">
        <f>'Wireline (MS)'!M38</f>
        <v>3284.6312068235106</v>
      </c>
      <c r="N38" s="11"/>
      <c r="O38" s="11"/>
      <c r="P38" s="11"/>
      <c r="Q38" s="9"/>
      <c r="R38" s="9"/>
      <c r="S38" s="9"/>
      <c r="T38" s="9"/>
      <c r="U38" s="9"/>
      <c r="V38" s="9"/>
      <c r="W38" s="9"/>
    </row>
    <row r="39" spans="1:23" ht="15.75" customHeight="1" x14ac:dyDescent="0.25">
      <c r="A39" s="49" t="s">
        <v>44</v>
      </c>
      <c r="B39" s="50"/>
      <c r="C39" s="50"/>
      <c r="D39" s="50"/>
      <c r="E39" s="50"/>
      <c r="F39" s="50">
        <f>'Wireline (MS)'!F39</f>
        <v>87.863177086249038</v>
      </c>
      <c r="G39" s="50">
        <f>'Wireline (MS)'!G39</f>
        <v>76.61212121212121</v>
      </c>
      <c r="H39" s="50">
        <f>'Wireline (MS)'!H39</f>
        <v>88.175763772677584</v>
      </c>
      <c r="I39" s="50">
        <f>'Wireline (MS)'!I39</f>
        <v>82.963829962168973</v>
      </c>
      <c r="J39" s="50">
        <f>'Wireline (MS)'!J39</f>
        <v>83.556074020226063</v>
      </c>
      <c r="K39" s="50">
        <f>'Wireline (MS)'!K39</f>
        <v>82.58930817610063</v>
      </c>
      <c r="L39" s="50">
        <f>'Wireline (MS)'!L39</f>
        <v>81.475543343316033</v>
      </c>
      <c r="M39" s="50">
        <f>'Wireline (MS)'!M39</f>
        <v>81.971333333333334</v>
      </c>
      <c r="N39" s="51"/>
      <c r="O39" s="51"/>
      <c r="P39" s="51"/>
      <c r="Q39" s="51"/>
      <c r="R39" s="51"/>
      <c r="S39" s="51"/>
      <c r="T39" s="51"/>
      <c r="U39" s="51"/>
      <c r="V39" s="51"/>
      <c r="W39" s="51"/>
    </row>
    <row r="40" spans="1:23" ht="15.75" customHeight="1" x14ac:dyDescent="0.25">
      <c r="A40" s="49" t="s">
        <v>45</v>
      </c>
      <c r="B40" s="50"/>
      <c r="C40" s="50"/>
      <c r="D40" s="50"/>
      <c r="E40" s="50"/>
      <c r="F40" s="50">
        <f>'Wireline (MS)'!F40</f>
        <v>3502.0453766466594</v>
      </c>
      <c r="G40" s="50">
        <f>'Wireline (MS)'!G40</f>
        <v>2454.6065051718465</v>
      </c>
      <c r="H40" s="50">
        <f>'Wireline (MS)'!H40</f>
        <v>2673.0751340013667</v>
      </c>
      <c r="I40" s="50">
        <f>'Wireline (MS)'!I40</f>
        <v>2396.3688378354486</v>
      </c>
      <c r="J40" s="50">
        <f>'Wireline (MS)'!J40</f>
        <v>2435.6733633585268</v>
      </c>
      <c r="K40" s="50">
        <f>'Wireline (MS)'!K40</f>
        <v>2356.5183676189563</v>
      </c>
      <c r="L40" s="50">
        <f>'Wireline (MS)'!L40</f>
        <v>2280.3811521818252</v>
      </c>
      <c r="M40" s="50">
        <f>'Wireline (MS)'!M40</f>
        <v>2296.6905134901772</v>
      </c>
      <c r="N40" s="51"/>
      <c r="O40" s="51"/>
      <c r="P40" s="51"/>
      <c r="Q40" s="51"/>
      <c r="R40" s="51"/>
      <c r="S40" s="51"/>
      <c r="T40" s="51"/>
      <c r="U40" s="51"/>
      <c r="V40" s="51"/>
      <c r="W40" s="51"/>
    </row>
    <row r="41" spans="1:23" ht="15.7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row>
    <row r="42" spans="1:23" ht="15.75" customHeight="1" x14ac:dyDescent="0.25">
      <c r="A42" s="25"/>
      <c r="B42" s="625" t="s">
        <v>46</v>
      </c>
      <c r="C42" s="623"/>
      <c r="D42" s="623"/>
      <c r="E42" s="623"/>
      <c r="F42" s="623"/>
      <c r="G42" s="25"/>
      <c r="H42" s="25"/>
      <c r="I42" s="25"/>
      <c r="J42" s="25"/>
      <c r="K42" s="25"/>
      <c r="L42" s="25"/>
      <c r="M42" s="25"/>
      <c r="N42" s="25"/>
      <c r="O42" s="25"/>
      <c r="P42" s="25"/>
      <c r="Q42" s="25"/>
      <c r="R42" s="25"/>
      <c r="S42" s="25"/>
      <c r="T42" s="25"/>
      <c r="U42" s="25"/>
      <c r="V42" s="25"/>
      <c r="W42" s="25"/>
    </row>
    <row r="43" spans="1:23" ht="15.75" customHeight="1" x14ac:dyDescent="0.25">
      <c r="A43" s="25"/>
      <c r="B43" s="624" t="s">
        <v>47</v>
      </c>
      <c r="C43" s="623"/>
      <c r="D43" s="623"/>
      <c r="E43" s="623"/>
      <c r="F43" s="623"/>
      <c r="G43" s="623"/>
      <c r="H43" s="623"/>
      <c r="I43" s="623"/>
      <c r="J43" s="623"/>
      <c r="K43" s="623"/>
      <c r="L43" s="623"/>
      <c r="M43" s="623"/>
      <c r="N43" s="25"/>
      <c r="O43" s="25"/>
      <c r="P43" s="25"/>
      <c r="Q43" s="25"/>
      <c r="R43" s="25"/>
      <c r="S43" s="25"/>
      <c r="T43" s="25"/>
      <c r="U43" s="25"/>
      <c r="V43" s="25"/>
      <c r="W43" s="25"/>
    </row>
    <row r="44" spans="1:23" ht="15.75" customHeight="1" x14ac:dyDescent="0.25">
      <c r="A44" s="25"/>
      <c r="B44" s="623"/>
      <c r="C44" s="623"/>
      <c r="D44" s="623"/>
      <c r="E44" s="623"/>
      <c r="F44" s="623"/>
      <c r="G44" s="623"/>
      <c r="H44" s="623"/>
      <c r="I44" s="623"/>
      <c r="J44" s="623"/>
      <c r="K44" s="623"/>
      <c r="L44" s="623"/>
      <c r="M44" s="623"/>
      <c r="N44" s="25"/>
      <c r="O44" s="25"/>
      <c r="P44" s="25"/>
      <c r="Q44" s="25"/>
      <c r="R44" s="25"/>
      <c r="S44" s="25"/>
      <c r="T44" s="25"/>
      <c r="U44" s="25"/>
      <c r="V44" s="25"/>
      <c r="W44" s="25"/>
    </row>
    <row r="45" spans="1:23" ht="15.75" customHeight="1" x14ac:dyDescent="0.25">
      <c r="A45" s="25"/>
      <c r="B45" s="623"/>
      <c r="C45" s="623"/>
      <c r="D45" s="623"/>
      <c r="E45" s="623"/>
      <c r="F45" s="623"/>
      <c r="G45" s="623"/>
      <c r="H45" s="623"/>
      <c r="I45" s="623"/>
      <c r="J45" s="623"/>
      <c r="K45" s="623"/>
      <c r="L45" s="623"/>
      <c r="M45" s="623"/>
      <c r="N45" s="25"/>
      <c r="O45" s="25"/>
      <c r="P45" s="25"/>
      <c r="Q45" s="25"/>
      <c r="R45" s="25"/>
      <c r="S45" s="25"/>
      <c r="T45" s="25"/>
      <c r="U45" s="25"/>
      <c r="V45" s="25"/>
      <c r="W45" s="25"/>
    </row>
    <row r="46" spans="1:23" ht="15.75" customHeight="1" x14ac:dyDescent="0.25">
      <c r="A46" s="25"/>
      <c r="B46" s="623"/>
      <c r="C46" s="623"/>
      <c r="D46" s="623"/>
      <c r="E46" s="623"/>
      <c r="F46" s="623"/>
      <c r="G46" s="623"/>
      <c r="H46" s="623"/>
      <c r="I46" s="623"/>
      <c r="J46" s="623"/>
      <c r="K46" s="623"/>
      <c r="L46" s="623"/>
      <c r="M46" s="623"/>
      <c r="N46" s="25"/>
      <c r="O46" s="25"/>
      <c r="P46" s="25"/>
      <c r="Q46" s="25"/>
      <c r="R46" s="25"/>
      <c r="S46" s="25"/>
      <c r="T46" s="25"/>
      <c r="U46" s="25"/>
      <c r="V46" s="25"/>
      <c r="W46" s="25"/>
    </row>
    <row r="47" spans="1:23" ht="15.75" customHeight="1" x14ac:dyDescent="0.25">
      <c r="A47" s="25"/>
      <c r="B47" s="623"/>
      <c r="C47" s="623"/>
      <c r="D47" s="623"/>
      <c r="E47" s="623"/>
      <c r="F47" s="623"/>
      <c r="G47" s="623"/>
      <c r="H47" s="623"/>
      <c r="I47" s="623"/>
      <c r="J47" s="623"/>
      <c r="K47" s="623"/>
      <c r="L47" s="623"/>
      <c r="M47" s="623"/>
      <c r="N47" s="25"/>
      <c r="O47" s="25"/>
      <c r="P47" s="25"/>
      <c r="Q47" s="25"/>
      <c r="R47" s="25"/>
      <c r="S47" s="25"/>
      <c r="T47" s="25"/>
      <c r="U47" s="25"/>
      <c r="V47" s="25"/>
      <c r="W47" s="25"/>
    </row>
    <row r="48" spans="1:23" ht="15.75" customHeight="1" x14ac:dyDescent="0.25">
      <c r="A48" s="25"/>
      <c r="B48" s="623"/>
      <c r="C48" s="623"/>
      <c r="D48" s="623"/>
      <c r="E48" s="623"/>
      <c r="F48" s="623"/>
      <c r="G48" s="623"/>
      <c r="H48" s="623"/>
      <c r="I48" s="623"/>
      <c r="J48" s="623"/>
      <c r="K48" s="623"/>
      <c r="L48" s="623"/>
      <c r="M48" s="623"/>
      <c r="N48" s="25"/>
      <c r="O48" s="25"/>
      <c r="P48" s="25"/>
      <c r="Q48" s="25"/>
      <c r="R48" s="25"/>
      <c r="S48" s="25"/>
      <c r="T48" s="25"/>
      <c r="U48" s="25"/>
      <c r="V48" s="25"/>
      <c r="W48" s="25"/>
    </row>
    <row r="49" spans="1:23" ht="15.75" customHeight="1" x14ac:dyDescent="0.25">
      <c r="A49" s="25"/>
      <c r="B49" s="623"/>
      <c r="C49" s="623"/>
      <c r="D49" s="623"/>
      <c r="E49" s="623"/>
      <c r="F49" s="623"/>
      <c r="G49" s="623"/>
      <c r="H49" s="623"/>
      <c r="I49" s="623"/>
      <c r="J49" s="623"/>
      <c r="K49" s="623"/>
      <c r="L49" s="623"/>
      <c r="M49" s="623"/>
      <c r="N49" s="25"/>
      <c r="O49" s="25"/>
      <c r="P49" s="25"/>
      <c r="Q49" s="25"/>
      <c r="R49" s="25"/>
      <c r="S49" s="25"/>
      <c r="T49" s="25"/>
      <c r="U49" s="25"/>
      <c r="V49" s="25"/>
      <c r="W49" s="25"/>
    </row>
    <row r="50" spans="1:23" ht="15.75" customHeight="1" x14ac:dyDescent="0.25">
      <c r="A50" s="25"/>
      <c r="B50" s="623"/>
      <c r="C50" s="623"/>
      <c r="D50" s="623"/>
      <c r="E50" s="623"/>
      <c r="F50" s="623"/>
      <c r="G50" s="623"/>
      <c r="H50" s="623"/>
      <c r="I50" s="623"/>
      <c r="J50" s="623"/>
      <c r="K50" s="623"/>
      <c r="L50" s="623"/>
      <c r="M50" s="623"/>
      <c r="N50" s="25"/>
      <c r="O50" s="25"/>
      <c r="P50" s="25"/>
      <c r="Q50" s="25"/>
      <c r="R50" s="25"/>
      <c r="S50" s="25"/>
      <c r="T50" s="25"/>
      <c r="U50" s="25"/>
      <c r="V50" s="25"/>
      <c r="W50" s="25"/>
    </row>
    <row r="51" spans="1:23" ht="15.75" customHeight="1" x14ac:dyDescent="0.25">
      <c r="A51" s="25"/>
      <c r="B51" s="623"/>
      <c r="C51" s="623"/>
      <c r="D51" s="623"/>
      <c r="E51" s="623"/>
      <c r="F51" s="623"/>
      <c r="G51" s="623"/>
      <c r="H51" s="623"/>
      <c r="I51" s="623"/>
      <c r="J51" s="623"/>
      <c r="K51" s="623"/>
      <c r="L51" s="623"/>
      <c r="M51" s="623"/>
      <c r="N51" s="25"/>
      <c r="O51" s="25"/>
      <c r="P51" s="25"/>
      <c r="Q51" s="25"/>
      <c r="R51" s="25"/>
      <c r="S51" s="25"/>
      <c r="T51" s="25"/>
      <c r="U51" s="25"/>
      <c r="V51" s="25"/>
      <c r="W51" s="25"/>
    </row>
    <row r="52" spans="1:23" ht="15.75" customHeight="1" x14ac:dyDescent="0.25">
      <c r="A52" s="25"/>
      <c r="B52" s="623"/>
      <c r="C52" s="623"/>
      <c r="D52" s="623"/>
      <c r="E52" s="623"/>
      <c r="F52" s="623"/>
      <c r="G52" s="623"/>
      <c r="H52" s="623"/>
      <c r="I52" s="623"/>
      <c r="J52" s="623"/>
      <c r="K52" s="623"/>
      <c r="L52" s="623"/>
      <c r="M52" s="623"/>
      <c r="N52" s="25"/>
      <c r="O52" s="25"/>
      <c r="P52" s="25"/>
      <c r="Q52" s="25"/>
      <c r="R52" s="25"/>
      <c r="S52" s="25"/>
      <c r="T52" s="25"/>
      <c r="U52" s="25"/>
      <c r="V52" s="25"/>
      <c r="W52" s="25"/>
    </row>
    <row r="53" spans="1:23" ht="15.75" customHeight="1" x14ac:dyDescent="0.25">
      <c r="A53" s="25"/>
      <c r="B53" s="623"/>
      <c r="C53" s="623"/>
      <c r="D53" s="623"/>
      <c r="E53" s="623"/>
      <c r="F53" s="623"/>
      <c r="G53" s="623"/>
      <c r="H53" s="623"/>
      <c r="I53" s="623"/>
      <c r="J53" s="623"/>
      <c r="K53" s="623"/>
      <c r="L53" s="623"/>
      <c r="M53" s="623"/>
      <c r="N53" s="25"/>
      <c r="O53" s="25"/>
      <c r="P53" s="25"/>
      <c r="Q53" s="25"/>
      <c r="R53" s="25"/>
      <c r="S53" s="25"/>
      <c r="T53" s="25"/>
      <c r="U53" s="25"/>
      <c r="V53" s="25"/>
      <c r="W53" s="25"/>
    </row>
    <row r="54" spans="1:23" ht="15.75" customHeight="1" x14ac:dyDescent="0.25">
      <c r="A54" s="25"/>
      <c r="B54" s="623"/>
      <c r="C54" s="623"/>
      <c r="D54" s="623"/>
      <c r="E54" s="623"/>
      <c r="F54" s="623"/>
      <c r="G54" s="623"/>
      <c r="H54" s="623"/>
      <c r="I54" s="623"/>
      <c r="J54" s="623"/>
      <c r="K54" s="623"/>
      <c r="L54" s="623"/>
      <c r="M54" s="623"/>
      <c r="N54" s="25"/>
      <c r="O54" s="25"/>
      <c r="P54" s="25"/>
      <c r="Q54" s="25"/>
      <c r="R54" s="25"/>
      <c r="S54" s="25"/>
      <c r="T54" s="25"/>
      <c r="U54" s="25"/>
      <c r="V54" s="25"/>
      <c r="W54" s="25"/>
    </row>
    <row r="55" spans="1:23" ht="15.75" customHeight="1" x14ac:dyDescent="0.25">
      <c r="A55" s="25"/>
      <c r="B55" s="623"/>
      <c r="C55" s="623"/>
      <c r="D55" s="623"/>
      <c r="E55" s="623"/>
      <c r="F55" s="623"/>
      <c r="G55" s="623"/>
      <c r="H55" s="623"/>
      <c r="I55" s="623"/>
      <c r="J55" s="623"/>
      <c r="K55" s="623"/>
      <c r="L55" s="623"/>
      <c r="M55" s="623"/>
      <c r="N55" s="25"/>
      <c r="O55" s="25"/>
      <c r="P55" s="25"/>
      <c r="Q55" s="25"/>
      <c r="R55" s="25"/>
      <c r="S55" s="25"/>
      <c r="T55" s="25"/>
      <c r="U55" s="25"/>
      <c r="V55" s="25"/>
      <c r="W55" s="25"/>
    </row>
    <row r="56" spans="1:23" ht="15.75" customHeight="1" x14ac:dyDescent="0.25">
      <c r="A56" s="25"/>
      <c r="B56" s="623"/>
      <c r="C56" s="623"/>
      <c r="D56" s="623"/>
      <c r="E56" s="623"/>
      <c r="F56" s="623"/>
      <c r="G56" s="623"/>
      <c r="H56" s="623"/>
      <c r="I56" s="623"/>
      <c r="J56" s="623"/>
      <c r="K56" s="623"/>
      <c r="L56" s="623"/>
      <c r="M56" s="623"/>
      <c r="N56" s="25"/>
      <c r="O56" s="25"/>
      <c r="P56" s="25"/>
      <c r="Q56" s="25"/>
      <c r="R56" s="25"/>
      <c r="S56" s="25"/>
      <c r="T56" s="25"/>
      <c r="U56" s="25"/>
      <c r="V56" s="25"/>
      <c r="W56" s="25"/>
    </row>
    <row r="57" spans="1:23" ht="15.75" customHeight="1" x14ac:dyDescent="0.25">
      <c r="A57" s="25"/>
      <c r="B57" s="623"/>
      <c r="C57" s="623"/>
      <c r="D57" s="623"/>
      <c r="E57" s="623"/>
      <c r="F57" s="623"/>
      <c r="G57" s="623"/>
      <c r="H57" s="623"/>
      <c r="I57" s="623"/>
      <c r="J57" s="623"/>
      <c r="K57" s="623"/>
      <c r="L57" s="623"/>
      <c r="M57" s="623"/>
      <c r="N57" s="25"/>
      <c r="O57" s="25"/>
      <c r="P57" s="25"/>
      <c r="Q57" s="25"/>
      <c r="R57" s="25"/>
      <c r="S57" s="25"/>
      <c r="T57" s="25"/>
      <c r="U57" s="25"/>
      <c r="V57" s="25"/>
      <c r="W57" s="25"/>
    </row>
    <row r="58" spans="1:23" ht="15.75" customHeight="1" x14ac:dyDescent="0.25">
      <c r="A58" s="25"/>
      <c r="B58" s="623"/>
      <c r="C58" s="623"/>
      <c r="D58" s="623"/>
      <c r="E58" s="623"/>
      <c r="F58" s="623"/>
      <c r="G58" s="623"/>
      <c r="H58" s="623"/>
      <c r="I58" s="623"/>
      <c r="J58" s="623"/>
      <c r="K58" s="623"/>
      <c r="L58" s="623"/>
      <c r="M58" s="623"/>
      <c r="N58" s="25"/>
      <c r="O58" s="25"/>
      <c r="P58" s="25"/>
      <c r="Q58" s="25"/>
      <c r="R58" s="25"/>
      <c r="S58" s="25"/>
      <c r="T58" s="25"/>
      <c r="U58" s="25"/>
      <c r="V58" s="25"/>
      <c r="W58" s="25"/>
    </row>
    <row r="59" spans="1:23" ht="15.75" customHeight="1" x14ac:dyDescent="0.25">
      <c r="A59" s="25"/>
      <c r="B59" s="623"/>
      <c r="C59" s="623"/>
      <c r="D59" s="623"/>
      <c r="E59" s="623"/>
      <c r="F59" s="623"/>
      <c r="G59" s="623"/>
      <c r="H59" s="623"/>
      <c r="I59" s="623"/>
      <c r="J59" s="623"/>
      <c r="K59" s="623"/>
      <c r="L59" s="623"/>
      <c r="M59" s="623"/>
      <c r="N59" s="25"/>
      <c r="O59" s="25"/>
      <c r="P59" s="25"/>
      <c r="Q59" s="25"/>
      <c r="R59" s="25"/>
      <c r="S59" s="25"/>
      <c r="T59" s="25"/>
      <c r="U59" s="25"/>
      <c r="V59" s="25"/>
      <c r="W59" s="25"/>
    </row>
    <row r="60" spans="1:23" ht="15.75" customHeight="1" x14ac:dyDescent="0.25">
      <c r="A60" s="25"/>
      <c r="B60" s="623"/>
      <c r="C60" s="623"/>
      <c r="D60" s="623"/>
      <c r="E60" s="623"/>
      <c r="F60" s="623"/>
      <c r="G60" s="623"/>
      <c r="H60" s="623"/>
      <c r="I60" s="623"/>
      <c r="J60" s="623"/>
      <c r="K60" s="623"/>
      <c r="L60" s="623"/>
      <c r="M60" s="623"/>
      <c r="N60" s="25"/>
      <c r="O60" s="25"/>
      <c r="P60" s="25"/>
      <c r="Q60" s="25"/>
      <c r="R60" s="25"/>
      <c r="S60" s="25"/>
      <c r="T60" s="25"/>
      <c r="U60" s="25"/>
      <c r="V60" s="25"/>
      <c r="W60" s="25"/>
    </row>
    <row r="61" spans="1:23" ht="15.75" customHeight="1" x14ac:dyDescent="0.25">
      <c r="A61" s="25"/>
      <c r="B61" s="623"/>
      <c r="C61" s="623"/>
      <c r="D61" s="623"/>
      <c r="E61" s="623"/>
      <c r="F61" s="623"/>
      <c r="G61" s="623"/>
      <c r="H61" s="623"/>
      <c r="I61" s="623"/>
      <c r="J61" s="623"/>
      <c r="K61" s="623"/>
      <c r="L61" s="623"/>
      <c r="M61" s="623"/>
      <c r="N61" s="25"/>
      <c r="O61" s="25"/>
      <c r="P61" s="25"/>
      <c r="Q61" s="25"/>
      <c r="R61" s="25"/>
      <c r="S61" s="25"/>
      <c r="T61" s="25"/>
      <c r="U61" s="25"/>
      <c r="V61" s="25"/>
      <c r="W61" s="25"/>
    </row>
    <row r="62" spans="1:23" ht="15.75" customHeight="1" x14ac:dyDescent="0.25">
      <c r="A62" s="25"/>
      <c r="B62" s="623"/>
      <c r="C62" s="623"/>
      <c r="D62" s="623"/>
      <c r="E62" s="623"/>
      <c r="F62" s="623"/>
      <c r="G62" s="623"/>
      <c r="H62" s="623"/>
      <c r="I62" s="623"/>
      <c r="J62" s="623"/>
      <c r="K62" s="623"/>
      <c r="L62" s="623"/>
      <c r="M62" s="623"/>
      <c r="N62" s="25"/>
      <c r="O62" s="25"/>
      <c r="P62" s="25"/>
      <c r="Q62" s="25"/>
      <c r="R62" s="25"/>
      <c r="S62" s="25"/>
      <c r="T62" s="25"/>
      <c r="U62" s="25"/>
      <c r="V62" s="25"/>
      <c r="W62" s="25"/>
    </row>
    <row r="63" spans="1:23" ht="15.75" customHeight="1" x14ac:dyDescent="0.25">
      <c r="A63" s="25"/>
      <c r="B63" s="623"/>
      <c r="C63" s="623"/>
      <c r="D63" s="623"/>
      <c r="E63" s="623"/>
      <c r="F63" s="623"/>
      <c r="G63" s="623"/>
      <c r="H63" s="623"/>
      <c r="I63" s="623"/>
      <c r="J63" s="623"/>
      <c r="K63" s="623"/>
      <c r="L63" s="623"/>
      <c r="M63" s="623"/>
      <c r="N63" s="25"/>
      <c r="O63" s="25"/>
      <c r="P63" s="25"/>
      <c r="Q63" s="25"/>
      <c r="R63" s="25"/>
      <c r="S63" s="25"/>
      <c r="T63" s="25"/>
      <c r="U63" s="25"/>
      <c r="V63" s="25"/>
      <c r="W63" s="25"/>
    </row>
    <row r="64" spans="1:23" ht="15.75" customHeight="1" x14ac:dyDescent="0.25">
      <c r="A64" s="25"/>
      <c r="B64" s="623"/>
      <c r="C64" s="623"/>
      <c r="D64" s="623"/>
      <c r="E64" s="623"/>
      <c r="F64" s="623"/>
      <c r="G64" s="623"/>
      <c r="H64" s="623"/>
      <c r="I64" s="623"/>
      <c r="J64" s="623"/>
      <c r="K64" s="623"/>
      <c r="L64" s="623"/>
      <c r="M64" s="623"/>
      <c r="N64" s="25"/>
      <c r="O64" s="25"/>
      <c r="P64" s="25"/>
      <c r="Q64" s="25"/>
      <c r="R64" s="25"/>
      <c r="S64" s="25"/>
      <c r="T64" s="25"/>
      <c r="U64" s="25"/>
      <c r="V64" s="25"/>
      <c r="W64" s="25"/>
    </row>
    <row r="65" spans="1:23" ht="15.75" customHeight="1" x14ac:dyDescent="0.25">
      <c r="A65" s="25"/>
      <c r="B65" s="623"/>
      <c r="C65" s="623"/>
      <c r="D65" s="623"/>
      <c r="E65" s="623"/>
      <c r="F65" s="623"/>
      <c r="G65" s="623"/>
      <c r="H65" s="623"/>
      <c r="I65" s="623"/>
      <c r="J65" s="623"/>
      <c r="K65" s="623"/>
      <c r="L65" s="623"/>
      <c r="M65" s="623"/>
      <c r="N65" s="25"/>
      <c r="O65" s="25"/>
      <c r="P65" s="25"/>
      <c r="Q65" s="25"/>
      <c r="R65" s="25"/>
      <c r="S65" s="25"/>
      <c r="T65" s="25"/>
      <c r="U65" s="25"/>
      <c r="V65" s="25"/>
      <c r="W65" s="25"/>
    </row>
    <row r="66" spans="1:23" ht="15.75" customHeight="1" x14ac:dyDescent="0.25">
      <c r="A66" s="25"/>
      <c r="B66" s="623"/>
      <c r="C66" s="623"/>
      <c r="D66" s="623"/>
      <c r="E66" s="623"/>
      <c r="F66" s="623"/>
      <c r="G66" s="623"/>
      <c r="H66" s="623"/>
      <c r="I66" s="623"/>
      <c r="J66" s="623"/>
      <c r="K66" s="623"/>
      <c r="L66" s="623"/>
      <c r="M66" s="623"/>
      <c r="N66" s="25"/>
      <c r="O66" s="25"/>
      <c r="P66" s="25"/>
      <c r="Q66" s="25"/>
      <c r="R66" s="25"/>
      <c r="S66" s="25"/>
      <c r="T66" s="25"/>
      <c r="U66" s="25"/>
      <c r="V66" s="25"/>
      <c r="W66" s="25"/>
    </row>
    <row r="67" spans="1:23" ht="15.75" customHeight="1" x14ac:dyDescent="0.25">
      <c r="A67" s="25"/>
      <c r="B67" s="623"/>
      <c r="C67" s="623"/>
      <c r="D67" s="623"/>
      <c r="E67" s="623"/>
      <c r="F67" s="623"/>
      <c r="G67" s="623"/>
      <c r="H67" s="623"/>
      <c r="I67" s="623"/>
      <c r="J67" s="623"/>
      <c r="K67" s="623"/>
      <c r="L67" s="623"/>
      <c r="M67" s="623"/>
      <c r="N67" s="25"/>
      <c r="O67" s="25"/>
      <c r="P67" s="25"/>
      <c r="Q67" s="25"/>
      <c r="R67" s="25"/>
      <c r="S67" s="25"/>
      <c r="T67" s="25"/>
      <c r="U67" s="25"/>
      <c r="V67" s="25"/>
      <c r="W67" s="25"/>
    </row>
    <row r="68" spans="1:23" ht="15.75" customHeight="1" x14ac:dyDescent="0.25">
      <c r="A68" s="25"/>
      <c r="B68" s="623"/>
      <c r="C68" s="623"/>
      <c r="D68" s="623"/>
      <c r="E68" s="623"/>
      <c r="F68" s="623"/>
      <c r="G68" s="623"/>
      <c r="H68" s="623"/>
      <c r="I68" s="623"/>
      <c r="J68" s="623"/>
      <c r="K68" s="623"/>
      <c r="L68" s="623"/>
      <c r="M68" s="623"/>
      <c r="N68" s="25"/>
      <c r="O68" s="25"/>
      <c r="P68" s="25"/>
      <c r="Q68" s="25"/>
      <c r="R68" s="25"/>
      <c r="S68" s="25"/>
      <c r="T68" s="25"/>
      <c r="U68" s="25"/>
      <c r="V68" s="25"/>
      <c r="W68" s="25"/>
    </row>
    <row r="69" spans="1:23" ht="15.75" customHeight="1" x14ac:dyDescent="0.25">
      <c r="A69" s="25"/>
      <c r="B69" s="623"/>
      <c r="C69" s="623"/>
      <c r="D69" s="623"/>
      <c r="E69" s="623"/>
      <c r="F69" s="623"/>
      <c r="G69" s="623"/>
      <c r="H69" s="623"/>
      <c r="I69" s="623"/>
      <c r="J69" s="623"/>
      <c r="K69" s="623"/>
      <c r="L69" s="623"/>
      <c r="M69" s="623"/>
      <c r="N69" s="25"/>
      <c r="O69" s="25"/>
      <c r="P69" s="25"/>
      <c r="Q69" s="25"/>
      <c r="R69" s="25"/>
      <c r="S69" s="25"/>
      <c r="T69" s="25"/>
      <c r="U69" s="25"/>
      <c r="V69" s="25"/>
      <c r="W69" s="25"/>
    </row>
    <row r="70" spans="1:23" ht="15.75" customHeight="1" x14ac:dyDescent="0.25">
      <c r="A70" s="25"/>
      <c r="B70" s="623"/>
      <c r="C70" s="623"/>
      <c r="D70" s="623"/>
      <c r="E70" s="623"/>
      <c r="F70" s="623"/>
      <c r="G70" s="623"/>
      <c r="H70" s="623"/>
      <c r="I70" s="623"/>
      <c r="J70" s="623"/>
      <c r="K70" s="623"/>
      <c r="L70" s="623"/>
      <c r="M70" s="623"/>
      <c r="N70" s="25"/>
      <c r="O70" s="25"/>
      <c r="P70" s="25"/>
      <c r="Q70" s="25"/>
      <c r="R70" s="25"/>
      <c r="S70" s="25"/>
      <c r="T70" s="25"/>
      <c r="U70" s="25"/>
      <c r="V70" s="25"/>
      <c r="W70" s="25"/>
    </row>
    <row r="71" spans="1:23" ht="15.75" customHeight="1" x14ac:dyDescent="0.25">
      <c r="A71" s="25"/>
      <c r="B71" s="623"/>
      <c r="C71" s="623"/>
      <c r="D71" s="623"/>
      <c r="E71" s="623"/>
      <c r="F71" s="623"/>
      <c r="G71" s="623"/>
      <c r="H71" s="623"/>
      <c r="I71" s="623"/>
      <c r="J71" s="623"/>
      <c r="K71" s="623"/>
      <c r="L71" s="623"/>
      <c r="M71" s="623"/>
      <c r="N71" s="25"/>
      <c r="O71" s="25"/>
      <c r="P71" s="25"/>
      <c r="Q71" s="25"/>
      <c r="R71" s="25"/>
      <c r="S71" s="25"/>
      <c r="T71" s="25"/>
      <c r="U71" s="25"/>
      <c r="V71" s="25"/>
      <c r="W71" s="25"/>
    </row>
    <row r="72" spans="1:23" ht="15.75" customHeight="1" x14ac:dyDescent="0.25">
      <c r="A72" s="25"/>
      <c r="B72" s="623"/>
      <c r="C72" s="623"/>
      <c r="D72" s="623"/>
      <c r="E72" s="623"/>
      <c r="F72" s="623"/>
      <c r="G72" s="623"/>
      <c r="H72" s="623"/>
      <c r="I72" s="623"/>
      <c r="J72" s="623"/>
      <c r="K72" s="623"/>
      <c r="L72" s="623"/>
      <c r="M72" s="623"/>
      <c r="N72" s="25"/>
      <c r="O72" s="25"/>
      <c r="P72" s="25"/>
      <c r="Q72" s="25"/>
      <c r="R72" s="25"/>
      <c r="S72" s="25"/>
      <c r="T72" s="25"/>
      <c r="U72" s="25"/>
      <c r="V72" s="25"/>
      <c r="W72" s="25"/>
    </row>
    <row r="73" spans="1:23" ht="15.75" customHeight="1" x14ac:dyDescent="0.25">
      <c r="A73" s="25"/>
      <c r="B73" s="623"/>
      <c r="C73" s="623"/>
      <c r="D73" s="623"/>
      <c r="E73" s="623"/>
      <c r="F73" s="623"/>
      <c r="G73" s="623"/>
      <c r="H73" s="623"/>
      <c r="I73" s="623"/>
      <c r="J73" s="623"/>
      <c r="K73" s="623"/>
      <c r="L73" s="623"/>
      <c r="M73" s="623"/>
      <c r="N73" s="25"/>
      <c r="O73" s="25"/>
      <c r="P73" s="25"/>
      <c r="Q73" s="25"/>
      <c r="R73" s="25"/>
      <c r="S73" s="25"/>
      <c r="T73" s="25"/>
      <c r="U73" s="25"/>
      <c r="V73" s="25"/>
      <c r="W73" s="25"/>
    </row>
    <row r="74" spans="1:23" ht="15.75" customHeight="1" x14ac:dyDescent="0.25">
      <c r="A74" s="25"/>
      <c r="B74" s="623"/>
      <c r="C74" s="623"/>
      <c r="D74" s="623"/>
      <c r="E74" s="623"/>
      <c r="F74" s="623"/>
      <c r="G74" s="623"/>
      <c r="H74" s="623"/>
      <c r="I74" s="623"/>
      <c r="J74" s="623"/>
      <c r="K74" s="623"/>
      <c r="L74" s="623"/>
      <c r="M74" s="623"/>
      <c r="N74" s="25"/>
      <c r="O74" s="25"/>
      <c r="P74" s="25"/>
      <c r="Q74" s="25"/>
      <c r="R74" s="25"/>
      <c r="S74" s="25"/>
      <c r="T74" s="25"/>
      <c r="U74" s="25"/>
      <c r="V74" s="25"/>
      <c r="W74" s="25"/>
    </row>
    <row r="75" spans="1:23" ht="15.75" customHeight="1" x14ac:dyDescent="0.25">
      <c r="A75" s="25"/>
      <c r="B75" s="623"/>
      <c r="C75" s="623"/>
      <c r="D75" s="623"/>
      <c r="E75" s="623"/>
      <c r="F75" s="623"/>
      <c r="G75" s="623"/>
      <c r="H75" s="623"/>
      <c r="I75" s="623"/>
      <c r="J75" s="623"/>
      <c r="K75" s="623"/>
      <c r="L75" s="623"/>
      <c r="M75" s="623"/>
      <c r="N75" s="25"/>
      <c r="O75" s="25"/>
      <c r="P75" s="25"/>
      <c r="Q75" s="25"/>
      <c r="R75" s="25"/>
      <c r="S75" s="25"/>
      <c r="T75" s="25"/>
      <c r="U75" s="25"/>
      <c r="V75" s="25"/>
      <c r="W75" s="25"/>
    </row>
    <row r="76" spans="1:23" ht="15.75" customHeight="1" x14ac:dyDescent="0.25">
      <c r="A76" s="25"/>
      <c r="B76" s="623"/>
      <c r="C76" s="623"/>
      <c r="D76" s="623"/>
      <c r="E76" s="623"/>
      <c r="F76" s="623"/>
      <c r="G76" s="623"/>
      <c r="H76" s="623"/>
      <c r="I76" s="623"/>
      <c r="J76" s="623"/>
      <c r="K76" s="623"/>
      <c r="L76" s="623"/>
      <c r="M76" s="623"/>
      <c r="N76" s="25"/>
      <c r="O76" s="25"/>
      <c r="P76" s="25"/>
      <c r="Q76" s="25"/>
      <c r="R76" s="25"/>
      <c r="S76" s="25"/>
      <c r="T76" s="25"/>
      <c r="U76" s="25"/>
      <c r="V76" s="25"/>
      <c r="W76" s="25"/>
    </row>
    <row r="77" spans="1:23" ht="15.75" customHeight="1" x14ac:dyDescent="0.25">
      <c r="A77" s="25"/>
      <c r="B77" s="623"/>
      <c r="C77" s="623"/>
      <c r="D77" s="623"/>
      <c r="E77" s="623"/>
      <c r="F77" s="623"/>
      <c r="G77" s="623"/>
      <c r="H77" s="623"/>
      <c r="I77" s="623"/>
      <c r="J77" s="623"/>
      <c r="K77" s="623"/>
      <c r="L77" s="623"/>
      <c r="M77" s="623"/>
      <c r="N77" s="25"/>
      <c r="O77" s="25"/>
      <c r="P77" s="25"/>
      <c r="Q77" s="25"/>
      <c r="R77" s="25"/>
      <c r="S77" s="25"/>
      <c r="T77" s="25"/>
      <c r="U77" s="25"/>
      <c r="V77" s="25"/>
      <c r="W77" s="25"/>
    </row>
    <row r="78" spans="1:23" ht="15.75" customHeight="1" x14ac:dyDescent="0.25">
      <c r="A78" s="25"/>
      <c r="B78" s="623"/>
      <c r="C78" s="623"/>
      <c r="D78" s="623"/>
      <c r="E78" s="623"/>
      <c r="F78" s="623"/>
      <c r="G78" s="623"/>
      <c r="H78" s="623"/>
      <c r="I78" s="623"/>
      <c r="J78" s="623"/>
      <c r="K78" s="623"/>
      <c r="L78" s="623"/>
      <c r="M78" s="623"/>
      <c r="N78" s="25"/>
      <c r="O78" s="25"/>
      <c r="P78" s="25"/>
      <c r="Q78" s="25"/>
      <c r="R78" s="25"/>
      <c r="S78" s="25"/>
      <c r="T78" s="25"/>
      <c r="U78" s="25"/>
      <c r="V78" s="25"/>
      <c r="W78" s="25"/>
    </row>
    <row r="79" spans="1:23" ht="15.75" customHeight="1" x14ac:dyDescent="0.25">
      <c r="A79" s="25"/>
      <c r="B79" s="623"/>
      <c r="C79" s="623"/>
      <c r="D79" s="623"/>
      <c r="E79" s="623"/>
      <c r="F79" s="623"/>
      <c r="G79" s="623"/>
      <c r="H79" s="623"/>
      <c r="I79" s="623"/>
      <c r="J79" s="623"/>
      <c r="K79" s="623"/>
      <c r="L79" s="623"/>
      <c r="M79" s="623"/>
      <c r="N79" s="25"/>
      <c r="O79" s="25"/>
      <c r="P79" s="25"/>
      <c r="Q79" s="25"/>
      <c r="R79" s="25"/>
      <c r="S79" s="25"/>
      <c r="T79" s="25"/>
      <c r="U79" s="25"/>
      <c r="V79" s="25"/>
      <c r="W79" s="25"/>
    </row>
    <row r="80" spans="1:23" ht="15.75" customHeight="1" x14ac:dyDescent="0.25">
      <c r="A80" s="25"/>
      <c r="B80" s="623"/>
      <c r="C80" s="623"/>
      <c r="D80" s="623"/>
      <c r="E80" s="623"/>
      <c r="F80" s="623"/>
      <c r="G80" s="623"/>
      <c r="H80" s="623"/>
      <c r="I80" s="623"/>
      <c r="J80" s="623"/>
      <c r="K80" s="623"/>
      <c r="L80" s="623"/>
      <c r="M80" s="623"/>
      <c r="N80" s="25"/>
      <c r="O80" s="25"/>
      <c r="P80" s="25"/>
      <c r="Q80" s="25"/>
      <c r="R80" s="25"/>
      <c r="S80" s="25"/>
      <c r="T80" s="25"/>
      <c r="U80" s="25"/>
      <c r="V80" s="25"/>
      <c r="W80" s="25"/>
    </row>
    <row r="81" spans="1:23" ht="15.75" customHeight="1" x14ac:dyDescent="0.25">
      <c r="A81" s="25"/>
      <c r="B81" s="623"/>
      <c r="C81" s="623"/>
      <c r="D81" s="623"/>
      <c r="E81" s="623"/>
      <c r="F81" s="623"/>
      <c r="G81" s="623"/>
      <c r="H81" s="623"/>
      <c r="I81" s="623"/>
      <c r="J81" s="623"/>
      <c r="K81" s="623"/>
      <c r="L81" s="623"/>
      <c r="M81" s="623"/>
      <c r="N81" s="25"/>
      <c r="O81" s="25"/>
      <c r="P81" s="25"/>
      <c r="Q81" s="25"/>
      <c r="R81" s="25"/>
      <c r="S81" s="25"/>
      <c r="T81" s="25"/>
      <c r="U81" s="25"/>
      <c r="V81" s="25"/>
      <c r="W81" s="25"/>
    </row>
    <row r="82" spans="1:23" ht="15.75" customHeight="1" x14ac:dyDescent="0.25">
      <c r="A82" s="25"/>
      <c r="B82" s="623"/>
      <c r="C82" s="623"/>
      <c r="D82" s="623"/>
      <c r="E82" s="623"/>
      <c r="F82" s="623"/>
      <c r="G82" s="623"/>
      <c r="H82" s="623"/>
      <c r="I82" s="623"/>
      <c r="J82" s="623"/>
      <c r="K82" s="623"/>
      <c r="L82" s="623"/>
      <c r="M82" s="623"/>
      <c r="N82" s="25"/>
      <c r="O82" s="25"/>
      <c r="P82" s="25"/>
      <c r="Q82" s="25"/>
      <c r="R82" s="25"/>
      <c r="S82" s="25"/>
      <c r="T82" s="25"/>
      <c r="U82" s="25"/>
      <c r="V82" s="25"/>
      <c r="W82" s="25"/>
    </row>
  </sheetData>
  <mergeCells count="4">
    <mergeCell ref="B1:O1"/>
    <mergeCell ref="B43:M82"/>
    <mergeCell ref="B42:F42"/>
    <mergeCell ref="O7:U1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0.125" customWidth="1"/>
    <col min="2" max="5" width="10.875" customWidth="1"/>
    <col min="6" max="6" width="11.875" customWidth="1"/>
    <col min="7" max="7" width="15" customWidth="1"/>
    <col min="8" max="8" width="11.625" customWidth="1"/>
    <col min="9" max="12" width="10.875" customWidth="1"/>
    <col min="13" max="21" width="12.25" customWidth="1"/>
  </cols>
  <sheetData>
    <row r="1" spans="1:21" ht="18" customHeight="1" x14ac:dyDescent="0.25">
      <c r="A1" s="7"/>
      <c r="B1" s="627" t="s">
        <v>2</v>
      </c>
      <c r="C1" s="623"/>
      <c r="D1" s="623"/>
      <c r="E1" s="623"/>
      <c r="F1" s="623"/>
      <c r="G1" s="623"/>
      <c r="H1" s="623"/>
      <c r="I1" s="623"/>
      <c r="J1" s="623"/>
      <c r="K1" s="623"/>
      <c r="L1" s="623"/>
      <c r="M1" s="623"/>
      <c r="N1" s="7"/>
      <c r="O1" s="7"/>
      <c r="P1" s="7"/>
      <c r="Q1" s="7"/>
      <c r="R1" s="7"/>
      <c r="S1" s="7"/>
      <c r="T1" s="7"/>
      <c r="U1" s="7"/>
    </row>
    <row r="2" spans="1:21" ht="15.75" customHeight="1" x14ac:dyDescent="0.25">
      <c r="A2" s="10"/>
      <c r="B2" s="12">
        <v>1984</v>
      </c>
      <c r="C2" s="12">
        <v>1988</v>
      </c>
      <c r="D2" s="12">
        <v>1992</v>
      </c>
      <c r="E2" s="12">
        <v>1996</v>
      </c>
      <c r="F2" s="12">
        <v>2000</v>
      </c>
      <c r="G2" s="12">
        <v>2004</v>
      </c>
      <c r="H2" s="12">
        <v>2008</v>
      </c>
      <c r="I2" s="12">
        <v>2010</v>
      </c>
      <c r="J2" s="12">
        <v>2011</v>
      </c>
      <c r="K2" s="10">
        <v>2012</v>
      </c>
      <c r="L2" s="12">
        <v>2013</v>
      </c>
      <c r="M2" s="12">
        <v>2014</v>
      </c>
      <c r="N2" s="12"/>
      <c r="O2" s="12"/>
      <c r="P2" s="12"/>
      <c r="Q2" s="12"/>
      <c r="R2" s="12"/>
      <c r="S2" s="12"/>
      <c r="T2" s="12"/>
      <c r="U2" s="12"/>
    </row>
    <row r="3" spans="1:21" ht="15.75" customHeight="1" x14ac:dyDescent="0.25">
      <c r="A3" s="5" t="s">
        <v>1</v>
      </c>
      <c r="B3" s="17">
        <f>('Wireline (RV) '!B3)/('Wireline (RV) '!B36)*100</f>
        <v>69.404082271056538</v>
      </c>
      <c r="C3" s="17">
        <f>('Wireline (RV) '!C3)/('Wireline (RV) '!C36)*100</f>
        <v>64.381380738202324</v>
      </c>
      <c r="D3" s="17">
        <f>('Wireline (RV) '!D3)/('Wireline (RV) '!D36)*100</f>
        <v>62.319727891156461</v>
      </c>
      <c r="E3" s="17">
        <f>('Wireline (RV) '!E3)/('Wireline (RV) '!E36)*100</f>
        <v>55.03351955307263</v>
      </c>
      <c r="F3" s="17">
        <f>('Wireline (RV) '!F3)/('Wireline (RV) '!F36)*100</f>
        <v>60.092452830188684</v>
      </c>
      <c r="G3" s="17">
        <f>('Wireline (RV) '!G3)/('Wireline (RV) '!G36)*100</f>
        <v>49.376262626262623</v>
      </c>
      <c r="H3" s="17">
        <f>('Wireline (RV) '!H3)/('Wireline (RV) '!H36)*100</f>
        <v>56.773541550455377</v>
      </c>
      <c r="I3" s="17">
        <f>('Wireline (RV) '!I3)/('Wireline (RV) '!I36)*100</f>
        <v>53.347853630808032</v>
      </c>
      <c r="J3" s="17">
        <f>('Wireline (RV) '!J3)/('Wireline (RV) '!J36)*100</f>
        <v>53.626195971445568</v>
      </c>
      <c r="K3" s="17">
        <f>('Wireline (RV) '!K3)/('Wireline (RV) '!K36)*100</f>
        <v>52.561006289308175</v>
      </c>
      <c r="L3" s="17">
        <f>('Wireline (RV) '!L3)/('Wireline (RV) '!L36)*100</f>
        <v>51.258235651008334</v>
      </c>
      <c r="M3" s="17">
        <f>('Wireline (RV) '!M3)/('Wireline (RV) '!M36)*100</f>
        <v>51.210666666666668</v>
      </c>
      <c r="N3" s="6"/>
      <c r="O3" s="6"/>
      <c r="P3" s="6"/>
      <c r="Q3" s="6"/>
      <c r="R3" s="6"/>
      <c r="S3" s="6"/>
      <c r="T3" s="6"/>
      <c r="U3" s="6"/>
    </row>
    <row r="4" spans="1:21" ht="15.75" customHeight="1" x14ac:dyDescent="0.25">
      <c r="A4" s="34" t="s">
        <v>3</v>
      </c>
      <c r="B4" s="35"/>
      <c r="C4" s="35"/>
      <c r="D4" s="35"/>
      <c r="E4" s="35"/>
      <c r="F4" s="39">
        <f>('Wireline (RV) '!F4)/('Wireline (RV) '!F36)*100</f>
        <v>54.292452830188672</v>
      </c>
      <c r="G4" s="39">
        <f>('Wireline (RV) '!G4)/('Wireline (RV) '!G36)*100</f>
        <v>43.827272727272728</v>
      </c>
      <c r="H4" s="39">
        <f>('Wireline (RV) '!H4)/('Wireline (RV) '!H36)*100</f>
        <v>42.915763772677593</v>
      </c>
      <c r="I4" s="39">
        <f>('Wireline (RV) '!I4)/('Wireline (RV) '!I36)*100</f>
        <v>40.782173157435246</v>
      </c>
      <c r="J4" s="39">
        <f>('Wireline (RV) '!J4)/('Wireline (RV) '!J36)*100</f>
        <v>41.146317922665084</v>
      </c>
      <c r="K4" s="39">
        <f>('Wireline (RV) '!K4)/('Wireline (RV) '!K36)*100</f>
        <v>39.905660377358494</v>
      </c>
      <c r="L4" s="39">
        <f>('Wireline (RV) '!L4)/('Wireline (RV) '!L36)*100</f>
        <v>38.578205128205134</v>
      </c>
      <c r="M4" s="39">
        <f>('Wireline (RV) '!M4)/('Wireline (RV) '!M36)*100</f>
        <v>38.32</v>
      </c>
      <c r="N4" s="35"/>
      <c r="O4" s="35"/>
      <c r="P4" s="35"/>
      <c r="Q4" s="35"/>
      <c r="R4" s="35"/>
      <c r="S4" s="35"/>
      <c r="T4" s="35"/>
      <c r="U4" s="35"/>
    </row>
    <row r="5" spans="1:21" ht="15.75" customHeight="1" x14ac:dyDescent="0.25">
      <c r="A5" s="34" t="s">
        <v>4</v>
      </c>
      <c r="B5" s="35"/>
      <c r="C5" s="35"/>
      <c r="D5" s="35"/>
      <c r="E5" s="35"/>
      <c r="F5" s="39">
        <f>('Wireline (RV) '!F5)/('Wireline (RV) '!F36)*100</f>
        <v>5.8</v>
      </c>
      <c r="G5" s="39">
        <f>('Wireline (RV) '!G5)/('Wireline (RV) '!G36)*100</f>
        <v>5.5489898989898991</v>
      </c>
      <c r="H5" s="39">
        <f>('Wireline (RV) '!H5)/('Wireline (RV) '!H36)*100</f>
        <v>13.857777777777777</v>
      </c>
      <c r="I5" s="39">
        <f>('Wireline (RV) '!I5)/('Wireline (RV) '!I36)*100</f>
        <v>12.565680473372781</v>
      </c>
      <c r="J5" s="39">
        <f>('Wireline (RV) '!J5)/('Wireline (RV) '!J36)*100</f>
        <v>12.479878048780487</v>
      </c>
      <c r="K5" s="39">
        <f>('Wireline (RV) '!K5)/('Wireline (RV) '!K36)*100</f>
        <v>12.655345911949684</v>
      </c>
      <c r="L5" s="39">
        <f>('Wireline (RV) '!L5)/('Wireline (RV) '!L36)*100</f>
        <v>12.680030522803202</v>
      </c>
      <c r="M5" s="39">
        <f>('Wireline (RV) '!M5)/('Wireline (RV) '!M36)*100</f>
        <v>12.890666666666666</v>
      </c>
      <c r="N5" s="35"/>
      <c r="O5" s="35"/>
      <c r="P5" s="35"/>
      <c r="Q5" s="35"/>
      <c r="R5" s="35"/>
      <c r="S5" s="35"/>
      <c r="T5" s="35"/>
      <c r="U5" s="35"/>
    </row>
    <row r="6" spans="1:21" ht="15.75" customHeight="1" x14ac:dyDescent="0.25">
      <c r="A6" s="21" t="s">
        <v>5</v>
      </c>
      <c r="B6" s="17">
        <f>('Wireline (RV) '!B6)/('Wireline (RV) '!B36)*100</f>
        <v>2.2069289121764291</v>
      </c>
      <c r="C6" s="17">
        <f>('Wireline (RV) '!C6)/('Wireline (RV) '!C36)*100</f>
        <v>2.749339615906333</v>
      </c>
      <c r="D6" s="17">
        <f>('Wireline (RV) '!D6)/('Wireline (RV) '!D36)*100</f>
        <v>3.6959183673469385</v>
      </c>
      <c r="E6" s="17">
        <f>('Wireline (RV) '!E6)/('Wireline (RV) '!E36)*100</f>
        <v>3.3240223463687149</v>
      </c>
      <c r="F6" s="6" t="s">
        <v>6</v>
      </c>
      <c r="G6" s="6"/>
      <c r="H6" s="6"/>
      <c r="I6" s="6"/>
      <c r="J6" s="6"/>
      <c r="K6" s="6"/>
      <c r="L6" s="6"/>
      <c r="M6" s="6"/>
      <c r="N6" s="6"/>
      <c r="O6" s="626" t="s">
        <v>8</v>
      </c>
      <c r="P6" s="623"/>
      <c r="Q6" s="623"/>
      <c r="R6" s="623"/>
      <c r="S6" s="623"/>
      <c r="T6" s="6"/>
      <c r="U6" s="6"/>
    </row>
    <row r="7" spans="1:21" ht="15.75" customHeight="1" x14ac:dyDescent="0.25">
      <c r="A7" s="21" t="s">
        <v>7</v>
      </c>
      <c r="B7" s="17">
        <f>('Wireline (RV) '!B7)/('Wireline (RV) '!B36)*100</f>
        <v>1.7955736294674278</v>
      </c>
      <c r="C7" s="17">
        <f>('Wireline (RV) '!C7)/('Wireline (RV) '!C36)*100</f>
        <v>1.9854358535018206</v>
      </c>
      <c r="D7" s="17">
        <f>('Wireline (RV) '!D7)/('Wireline (RV) '!D36)*100</f>
        <v>2.3748299319727892</v>
      </c>
      <c r="E7" s="17">
        <f>('Wireline (RV) '!E7)/('Wireline (RV) '!E36)*100</f>
        <v>2.4960893854748605</v>
      </c>
      <c r="F7" s="6" t="s">
        <v>6</v>
      </c>
      <c r="G7" s="6"/>
      <c r="H7" s="6"/>
      <c r="I7" s="6"/>
      <c r="J7" s="6"/>
      <c r="K7" s="6"/>
      <c r="L7" s="6"/>
      <c r="M7" s="6"/>
      <c r="N7" s="6"/>
      <c r="O7" s="623"/>
      <c r="P7" s="623"/>
      <c r="Q7" s="623"/>
      <c r="R7" s="623"/>
      <c r="S7" s="623"/>
      <c r="T7" s="6"/>
      <c r="U7" s="6"/>
    </row>
    <row r="8" spans="1:21" ht="15.75" customHeight="1" x14ac:dyDescent="0.25">
      <c r="A8" s="21" t="s">
        <v>9</v>
      </c>
      <c r="B8" s="17">
        <f>('Wireline (RV) '!B8)/('Wireline (RV) '!B36)*100</f>
        <v>0.99319621490576371</v>
      </c>
      <c r="C8" s="17">
        <f>('Wireline (RV) '!C8)/('Wireline (RV) '!C36)*100</f>
        <v>1.3743128435782108</v>
      </c>
      <c r="D8" s="17">
        <f>('Wireline (RV) '!D8)/('Wireline (RV) '!D36)*100</f>
        <v>1.8551020408163266</v>
      </c>
      <c r="E8" s="17">
        <f>('Wireline (RV) '!E8)/('Wireline (RV) '!E36)*100</f>
        <v>1.775418994413408</v>
      </c>
      <c r="F8" s="6" t="s">
        <v>6</v>
      </c>
      <c r="G8" s="6"/>
      <c r="H8" s="6"/>
      <c r="I8" s="6"/>
      <c r="J8" s="6"/>
      <c r="K8" s="6"/>
      <c r="L8" s="6"/>
      <c r="M8" s="6"/>
      <c r="N8" s="6"/>
      <c r="O8" s="623"/>
      <c r="P8" s="623"/>
      <c r="Q8" s="623"/>
      <c r="R8" s="623"/>
      <c r="S8" s="623"/>
      <c r="T8" s="6"/>
      <c r="U8" s="6"/>
    </row>
    <row r="9" spans="1:21" ht="15.75" customHeight="1" x14ac:dyDescent="0.25">
      <c r="A9" s="21" t="s">
        <v>10</v>
      </c>
      <c r="B9" s="17">
        <f>('Wireline (RV) '!B9)/('Wireline (RV) '!B36)*100</f>
        <v>0.10401188707280833</v>
      </c>
      <c r="C9" s="17">
        <f>('Wireline (RV) '!C9)/('Wireline (RV) '!C36)*100</f>
        <v>0.12922110373384738</v>
      </c>
      <c r="D9" s="17">
        <f>('Wireline (RV) '!D9)/('Wireline (RV) '!D36)*100</f>
        <v>0.17346938775510204</v>
      </c>
      <c r="E9" s="17">
        <f>('Wireline (RV) '!E9)/('Wireline (RV) '!E36)*100</f>
        <v>0.15586592178770947</v>
      </c>
      <c r="F9" s="6" t="s">
        <v>6</v>
      </c>
      <c r="G9" s="6"/>
      <c r="H9" s="6"/>
      <c r="I9" s="6"/>
      <c r="J9" s="6"/>
      <c r="K9" s="6"/>
      <c r="L9" s="6"/>
      <c r="M9" s="6"/>
      <c r="N9" s="6"/>
      <c r="O9" s="623"/>
      <c r="P9" s="623"/>
      <c r="Q9" s="623"/>
      <c r="R9" s="623"/>
      <c r="S9" s="623"/>
      <c r="T9" s="6"/>
      <c r="U9" s="6"/>
    </row>
    <row r="10" spans="1:21" ht="15.75" customHeight="1" x14ac:dyDescent="0.25">
      <c r="A10" s="21" t="s">
        <v>11</v>
      </c>
      <c r="B10" s="17"/>
      <c r="C10" s="17"/>
      <c r="D10" s="17">
        <f>('Wireline (RV) '!D10)/('Wireline (RV) '!D36)*100</f>
        <v>8.6272108843537421</v>
      </c>
      <c r="E10" s="17">
        <f>('Wireline (RV) '!E10)/('Wireline (RV) '!E36)*100</f>
        <v>9.3698324022346373</v>
      </c>
      <c r="F10" s="17">
        <f>('Wireline (RV) '!F10)/('Wireline (RV) '!F36)*100</f>
        <v>20.889120482475473</v>
      </c>
      <c r="G10" s="17">
        <f>('Wireline (RV) '!G10)/('Wireline (RV) '!G36)*100</f>
        <v>20.732828282828283</v>
      </c>
      <c r="H10" s="17">
        <f>('Wireline (RV) '!H10)/('Wireline (RV) '!H36)*100</f>
        <v>23.36611111111111</v>
      </c>
      <c r="I10" s="17">
        <f>('Wireline (RV) '!I10)/('Wireline (RV) '!I36)*100</f>
        <v>21.954437869822485</v>
      </c>
      <c r="J10" s="17">
        <f>('Wireline (RV) '!J10)/('Wireline (RV) '!J36)*100</f>
        <v>22.170121951219514</v>
      </c>
      <c r="K10" s="17">
        <f>('Wireline (RV) '!K10)/('Wireline (RV) '!K36)*100</f>
        <v>22.555974842767295</v>
      </c>
      <c r="L10" s="17">
        <f>('Wireline (RV) '!L10)/('Wireline (RV) '!L36)*100</f>
        <v>23.207051282051282</v>
      </c>
      <c r="M10" s="17">
        <f>('Wireline (RV) '!M10)/('Wireline (RV) '!M36)*100</f>
        <v>23.650666666666666</v>
      </c>
      <c r="N10" s="6"/>
      <c r="O10" s="623"/>
      <c r="P10" s="623"/>
      <c r="Q10" s="623"/>
      <c r="R10" s="623"/>
      <c r="S10" s="623"/>
      <c r="T10" s="6"/>
      <c r="U10" s="6"/>
    </row>
    <row r="11" spans="1:21" ht="15.75" customHeight="1" x14ac:dyDescent="0.25">
      <c r="A11" s="21" t="s">
        <v>12</v>
      </c>
      <c r="B11" s="17">
        <f>('Wireline (RV) '!B11)/('Wireline (RV) '!B36)*100</f>
        <v>11.592242120904043</v>
      </c>
      <c r="C11" s="17">
        <f>('Wireline (RV) '!C11)/('Wireline (RV) '!C36)*100</f>
        <v>13.65031769829371</v>
      </c>
      <c r="D11" s="17">
        <f>('Wireline (RV) '!D11)/('Wireline (RV) '!D36)*100</f>
        <v>13.451700680272111</v>
      </c>
      <c r="E11" s="17">
        <f>('Wireline (RV) '!E11)/('Wireline (RV) '!E36)*100</f>
        <v>13.682122905027933</v>
      </c>
      <c r="F11" s="6" t="s">
        <v>13</v>
      </c>
      <c r="G11" s="6"/>
      <c r="H11" s="6"/>
      <c r="I11" s="6"/>
      <c r="J11" s="6"/>
      <c r="K11" s="6"/>
      <c r="L11" s="6"/>
      <c r="M11" s="6"/>
      <c r="N11" s="6"/>
      <c r="O11" s="623"/>
      <c r="P11" s="623"/>
      <c r="Q11" s="623"/>
      <c r="R11" s="623"/>
      <c r="S11" s="623"/>
      <c r="T11" s="6"/>
      <c r="U11" s="6"/>
    </row>
    <row r="12" spans="1:21" ht="15.75" customHeight="1" x14ac:dyDescent="0.25">
      <c r="A12" s="21" t="s">
        <v>14</v>
      </c>
      <c r="B12" s="17">
        <f>('Wireline (RV) '!B12)/('Wireline (RV) '!B36)*100</f>
        <v>7.595213889106124</v>
      </c>
      <c r="C12" s="17">
        <f>('Wireline (RV) '!C12)/('Wireline (RV) '!C36)*100</f>
        <v>7.6490326265438711</v>
      </c>
      <c r="D12" s="6" t="s">
        <v>13</v>
      </c>
      <c r="E12" s="6"/>
      <c r="F12" s="6"/>
      <c r="G12" s="6"/>
      <c r="H12" s="6"/>
      <c r="I12" s="6"/>
      <c r="J12" s="6"/>
      <c r="K12" s="6"/>
      <c r="L12" s="6"/>
      <c r="M12" s="6"/>
      <c r="N12" s="6"/>
      <c r="O12" s="623"/>
      <c r="P12" s="623"/>
      <c r="Q12" s="623"/>
      <c r="R12" s="623"/>
      <c r="S12" s="623"/>
      <c r="T12" s="6"/>
      <c r="U12" s="6"/>
    </row>
    <row r="13" spans="1:21" ht="15.75" customHeight="1" x14ac:dyDescent="0.25">
      <c r="A13" s="21" t="s">
        <v>15</v>
      </c>
      <c r="B13" s="17">
        <f>('Wireline (RV) '!B13)/('Wireline (RV) '!B36)*100</f>
        <v>2.1318526628607182</v>
      </c>
      <c r="C13" s="17">
        <f>('Wireline (RV) '!C13)/('Wireline (RV) '!C36)*100</f>
        <v>3.2455200970943099</v>
      </c>
      <c r="D13" s="17">
        <f>('Wireline (RV) '!D13)/('Wireline (RV) '!D36)*100</f>
        <v>3.44421768707483</v>
      </c>
      <c r="E13" s="17">
        <f>('Wireline (RV) '!E13)/('Wireline (RV) '!E36)*100</f>
        <v>2.953072625698324</v>
      </c>
      <c r="F13" s="17">
        <f>('Wireline (RV) '!F13)/('Wireline (RV) '!F36)*100</f>
        <v>3.8599056603773585</v>
      </c>
      <c r="G13" s="17">
        <f>('Wireline (RV) '!G13)/('Wireline (RV) '!G36)*100</f>
        <v>6.5030303030303021</v>
      </c>
      <c r="H13" s="17">
        <f>('Wireline (RV) '!H13)/('Wireline (RV) '!H36)*100</f>
        <v>8.0361111111111114</v>
      </c>
      <c r="I13" s="17">
        <f>('Wireline (RV) '!I13)/('Wireline (RV) '!I36)*100</f>
        <v>7.661538461538461</v>
      </c>
      <c r="J13" s="17">
        <f>('Wireline (RV) '!J13)/('Wireline (RV) '!J36)*100</f>
        <v>7.7597560975609774</v>
      </c>
      <c r="K13" s="17">
        <f>('Wireline (RV) '!K13)/('Wireline (RV) '!K36)*100</f>
        <v>7.4723270440251595</v>
      </c>
      <c r="L13" s="17">
        <f>('Wireline (RV) '!L13)/('Wireline (RV) '!L36)*100</f>
        <v>7.0102564102564102</v>
      </c>
      <c r="M13" s="17">
        <f>('Wireline (RV) '!M13)/('Wireline (RV) '!M36)*100</f>
        <v>7.1099999999999994</v>
      </c>
      <c r="N13" s="6"/>
      <c r="O13" s="623"/>
      <c r="P13" s="623"/>
      <c r="Q13" s="623"/>
      <c r="R13" s="623"/>
      <c r="S13" s="623"/>
      <c r="T13" s="6"/>
      <c r="U13" s="6"/>
    </row>
    <row r="14" spans="1:21" ht="15.75" customHeight="1" x14ac:dyDescent="0.25">
      <c r="A14" s="5" t="s">
        <v>16</v>
      </c>
      <c r="B14" s="6"/>
      <c r="C14" s="6"/>
      <c r="D14" s="6"/>
      <c r="E14" s="17">
        <f>('Wireline (RV) '!E14)/('Wireline (RV) '!E36)*100</f>
        <v>3.5195530726256981E-2</v>
      </c>
      <c r="F14" s="17">
        <f>('Wireline (RV) '!F14)/('Wireline (RV) '!F36)*100</f>
        <v>9.8113207547169817E-2</v>
      </c>
      <c r="G14" s="17">
        <f>('Wireline (RV) '!G14)/('Wireline (RV) '!G36)*100</f>
        <v>0.22121212121212122</v>
      </c>
      <c r="H14" s="17">
        <f>('Wireline (RV) '!H14)/('Wireline (RV) '!H36)*100</f>
        <v>2.7174329259259262</v>
      </c>
      <c r="I14" s="17">
        <f>('Wireline (RV) '!I14)/('Wireline (RV) '!I36)*100</f>
        <v>3.2732131534390918</v>
      </c>
      <c r="J14" s="17">
        <f>('Wireline (RV) '!J14)/('Wireline (RV) '!J36)*100</f>
        <v>3.4162199642956503</v>
      </c>
      <c r="K14" s="17">
        <f>('Wireline (RV) '!K14)/('Wireline (RV) '!K36)*100</f>
        <v>3.6523575418994416</v>
      </c>
      <c r="L14" s="17">
        <f>('Wireline (RV) '!L14)/('Wireline (RV) '!L36)*100</f>
        <v>3.8724358974358974</v>
      </c>
      <c r="M14" s="17">
        <f>('Wireline (RV) '!M14)/('Wireline (RV) '!M36)*100</f>
        <v>4.7866666666666671</v>
      </c>
      <c r="N14" s="6"/>
      <c r="O14" s="623"/>
      <c r="P14" s="623"/>
      <c r="Q14" s="623"/>
      <c r="R14" s="623"/>
      <c r="S14" s="623"/>
      <c r="T14" s="6"/>
      <c r="U14" s="6"/>
    </row>
    <row r="15" spans="1:21" ht="15.75" customHeight="1" x14ac:dyDescent="0.25">
      <c r="A15" s="21" t="s">
        <v>17</v>
      </c>
      <c r="B15" s="6"/>
      <c r="C15" s="6"/>
      <c r="D15" s="6"/>
      <c r="E15" s="6"/>
      <c r="F15" s="6"/>
      <c r="G15" s="6"/>
      <c r="H15" s="17">
        <f>('Wireline (RV) '!H15)/('Wireline (RV) '!H36)*100</f>
        <v>2.8566666666666669</v>
      </c>
      <c r="I15" s="17">
        <f>('Wireline (RV) '!I15)/('Wireline (RV) '!I36)*100</f>
        <v>2.9940828402366866</v>
      </c>
      <c r="J15" s="17">
        <f>('Wireline (RV) '!J15)/('Wireline (RV) '!J36)*100</f>
        <v>2.9146341463414638</v>
      </c>
      <c r="K15" s="17">
        <f>('Wireline (RV) '!K15)/('Wireline (RV) '!K36)*100</f>
        <v>3</v>
      </c>
      <c r="L15" s="17">
        <f>('Wireline (RV) '!L15)/('Wireline (RV) '!L36)*100</f>
        <v>3.1923076923076921</v>
      </c>
      <c r="M15" s="17">
        <f>('Wireline (RV) '!M15)/('Wireline (RV) '!M36)*100</f>
        <v>3.186666666666667</v>
      </c>
      <c r="N15" s="6"/>
      <c r="O15" s="623"/>
      <c r="P15" s="623"/>
      <c r="Q15" s="623"/>
      <c r="R15" s="623"/>
      <c r="S15" s="623"/>
      <c r="T15" s="6"/>
      <c r="U15" s="6"/>
    </row>
    <row r="16" spans="1:21" ht="15.75" customHeight="1" x14ac:dyDescent="0.25">
      <c r="A16" s="53" t="s">
        <v>48</v>
      </c>
      <c r="B16" s="6"/>
      <c r="C16" s="6"/>
      <c r="D16" s="6"/>
      <c r="E16" s="6"/>
      <c r="F16" s="6"/>
      <c r="G16" s="17">
        <f>('Wireline (RV) '!G16)/('Wireline (RV) '!G36)*100</f>
        <v>5.3535353535353526E-2</v>
      </c>
      <c r="H16" s="17">
        <f>('Wireline (RV) '!H16)/('Wireline (RV) '!H36)*100</f>
        <v>2.0466666666666664</v>
      </c>
      <c r="I16" s="17">
        <f>('Wireline (RV) '!I16)/('Wireline (RV) '!I36)*100</f>
        <v>2.4254437869822487</v>
      </c>
      <c r="J16" s="17">
        <f>('Wireline (RV) '!J16)/('Wireline (RV) '!J36)*100</f>
        <v>2.6628048780487803</v>
      </c>
      <c r="K16" s="17">
        <f>('Wireline (RV) '!K16)/('Wireline (RV) '!K36)*100</f>
        <v>2.8610062893081758</v>
      </c>
      <c r="L16" s="17">
        <f>('Wireline (RV) '!L16)/('Wireline (RV) '!L36)*100</f>
        <v>3.0371794871794875</v>
      </c>
      <c r="M16" s="17">
        <f>('Wireline (RV) '!M16)/('Wireline (RV) '!M36)*100</f>
        <v>3.167333333333334</v>
      </c>
      <c r="N16" s="6"/>
      <c r="O16" s="623"/>
      <c r="P16" s="623"/>
      <c r="Q16" s="623"/>
      <c r="R16" s="623"/>
      <c r="S16" s="623"/>
      <c r="T16" s="6"/>
      <c r="U16" s="6"/>
    </row>
    <row r="17" spans="1:21" ht="15.75" customHeight="1" x14ac:dyDescent="0.25">
      <c r="A17" s="21" t="s">
        <v>19</v>
      </c>
      <c r="B17" s="17">
        <f>('Wireline (RV) '!B17)/('Wireline (RV) '!B36)*100</f>
        <v>2.9928833972002815</v>
      </c>
      <c r="C17" s="17">
        <f>('Wireline (RV) '!C17)/('Wireline (RV) '!C36)*100</f>
        <v>3.665310202041836</v>
      </c>
      <c r="D17" s="17">
        <f>('Wireline (RV) '!D17)/('Wireline (RV) '!D36)*100</f>
        <v>3.9013605442176873</v>
      </c>
      <c r="E17" s="17">
        <f>('Wireline (RV) '!E17)/('Wireline (RV) '!E36)*100</f>
        <v>3.4005586592178774</v>
      </c>
      <c r="F17" s="17">
        <f>('Wireline (RV) '!F17)/('Wireline (RV) '!F36)*100</f>
        <v>2.6396564168899284</v>
      </c>
      <c r="G17" s="17">
        <f>('Wireline (RV) '!G17)/('Wireline (RV) '!G36)*100</f>
        <v>3.0360599604027114</v>
      </c>
      <c r="H17" s="17">
        <f>('Wireline (RV) '!H17)/('Wireline (RV) '!H36)*100</f>
        <v>2.6493627971804266</v>
      </c>
      <c r="I17" s="17">
        <f>('Wireline (RV) '!I17)/('Wireline (RV) '!I36)*100</f>
        <v>2.4761499308580586</v>
      </c>
      <c r="J17" s="17">
        <f>('Wireline (RV) '!J17)/('Wireline (RV) '!J36)*100</f>
        <v>2.2247590917594207</v>
      </c>
      <c r="K17" s="17">
        <f>('Wireline (RV) '!K17)/('Wireline (RV) '!K36)*100</f>
        <v>2.4206176207509462</v>
      </c>
      <c r="L17" s="17">
        <f>('Wireline (RV) '!L17)/('Wireline (RV) '!L36)*100</f>
        <v>2.4694495555706952</v>
      </c>
      <c r="M17" s="17">
        <f>('Wireline (RV) '!M17)/('Wireline (RV) '!M36)*100</f>
        <v>2.5313333333333334</v>
      </c>
      <c r="N17" s="6"/>
      <c r="O17" s="6"/>
      <c r="P17" s="6"/>
      <c r="Q17" s="6"/>
      <c r="R17" s="6"/>
      <c r="S17" s="6"/>
      <c r="T17" s="6"/>
      <c r="U17" s="6"/>
    </row>
    <row r="18" spans="1:21" ht="15.75" customHeight="1" x14ac:dyDescent="0.25">
      <c r="A18" s="5" t="s">
        <v>20</v>
      </c>
      <c r="B18" s="6"/>
      <c r="C18" s="6"/>
      <c r="D18" s="6"/>
      <c r="E18" s="6"/>
      <c r="F18" s="6"/>
      <c r="G18" s="6"/>
      <c r="H18" s="17">
        <f>('Wireline (RV) '!H18)/('Wireline (RV) '!H36)*100</f>
        <v>0.44</v>
      </c>
      <c r="I18" s="17">
        <f>('Wireline (RV) '!I18)/('Wireline (RV) '!I36)*100</f>
        <v>1.06747262354947</v>
      </c>
      <c r="J18" s="17">
        <f>('Wireline (RV) '!J18)/('Wireline (RV) '!J36)*100</f>
        <v>1.1588441296485208</v>
      </c>
      <c r="K18" s="17">
        <f>('Wireline (RV) '!K18)/('Wireline (RV) '!K36)*100</f>
        <v>1.3169944134078211</v>
      </c>
      <c r="L18" s="17">
        <f>('Wireline (RV) '!L18)/('Wireline (RV) '!L36)*100</f>
        <v>1.4051662307692312</v>
      </c>
      <c r="M18" s="17">
        <f>('Wireline (RV) '!M18)/('Wireline (RV) '!M36)*100</f>
        <v>1.2006666666666665</v>
      </c>
      <c r="N18" s="6"/>
      <c r="O18" s="6"/>
      <c r="P18" s="6"/>
      <c r="Q18" s="6"/>
      <c r="R18" s="6"/>
      <c r="S18" s="6"/>
      <c r="T18" s="6"/>
      <c r="U18" s="6"/>
    </row>
    <row r="19" spans="1:21" ht="15.75" customHeight="1" x14ac:dyDescent="0.25">
      <c r="A19" s="5" t="s">
        <v>21</v>
      </c>
      <c r="B19" s="6"/>
      <c r="C19" s="6"/>
      <c r="D19" s="6"/>
      <c r="E19" s="6"/>
      <c r="F19" s="17">
        <f>('Wireline (RV) '!F19)/('Wireline (RV) '!F36)*100</f>
        <v>9.9056603773584918E-3</v>
      </c>
      <c r="G19" s="17">
        <f>('Wireline (RV) '!G19)/('Wireline (RV) '!G36)*100</f>
        <v>0.13838383838383836</v>
      </c>
      <c r="H19" s="17">
        <f>('Wireline (RV) '!H19)/('Wireline (RV) '!H36)*100</f>
        <v>0.31593333333333334</v>
      </c>
      <c r="I19" s="17">
        <f>('Wireline (RV) '!I19)/('Wireline (RV) '!I36)*100</f>
        <v>0.5866753846153846</v>
      </c>
      <c r="J19" s="17">
        <f>('Wireline (RV) '!J19)/('Wireline (RV) '!J36)*100</f>
        <v>0.59282491463414633</v>
      </c>
      <c r="K19" s="17">
        <f>('Wireline (RV) '!K19)/('Wireline (RV) '!K36)*100</f>
        <v>0.68730101886792461</v>
      </c>
      <c r="L19" s="17">
        <f>('Wireline (RV) '!L19)/('Wireline (RV) '!L36)*100</f>
        <v>0.73846153846153839</v>
      </c>
      <c r="M19" s="17">
        <f>('Wireline (RV) '!M19)/('Wireline (RV) '!M36)*100</f>
        <v>0.78866666666666663</v>
      </c>
      <c r="N19" s="6"/>
      <c r="O19" s="6"/>
      <c r="P19" s="6"/>
      <c r="Q19" s="6"/>
      <c r="R19" s="6"/>
      <c r="S19" s="6"/>
      <c r="T19" s="6"/>
      <c r="U19" s="6"/>
    </row>
    <row r="20" spans="1:21" ht="15.75" customHeight="1" x14ac:dyDescent="0.25">
      <c r="A20" s="5" t="s">
        <v>22</v>
      </c>
      <c r="B20" s="6"/>
      <c r="C20" s="6"/>
      <c r="D20" s="6"/>
      <c r="E20" s="6"/>
      <c r="F20" s="17">
        <f>('Wireline (RV) '!F20)/('Wireline (RV) '!F36)*100</f>
        <v>0.70377358490566033</v>
      </c>
      <c r="G20" s="17">
        <f>('Wireline (RV) '!G20)/('Wireline (RV) '!G36)*100</f>
        <v>1.334848484848485</v>
      </c>
      <c r="H20" s="17">
        <f>('Wireline (RV) '!H20)/('Wireline (RV) '!H36)*100</f>
        <v>1.2788888888888887</v>
      </c>
      <c r="I20" s="17">
        <f>('Wireline (RV) '!I20)/('Wireline (RV) '!I36)*100</f>
        <v>1.1745562130177516</v>
      </c>
      <c r="J20" s="17">
        <f>('Wireline (RV) '!J20)/('Wireline (RV) '!J36)*100</f>
        <v>1.1128048780487805</v>
      </c>
      <c r="K20" s="17">
        <f>('Wireline (RV) '!K20)/('Wireline (RV) '!K36)*100</f>
        <v>0.81006289308176105</v>
      </c>
      <c r="L20" s="17">
        <f>('Wireline (RV) '!L20)/('Wireline (RV) '!L36)*100</f>
        <v>0.73141025641025637</v>
      </c>
      <c r="M20" s="17">
        <f>('Wireline (RV) '!M20)/('Wireline (RV) '!M36)*100</f>
        <v>0.7606666666666666</v>
      </c>
      <c r="N20" s="6"/>
      <c r="O20" s="6"/>
      <c r="P20" s="6"/>
      <c r="Q20" s="6"/>
      <c r="R20" s="6"/>
      <c r="S20" s="6"/>
      <c r="T20" s="6"/>
      <c r="U20" s="6"/>
    </row>
    <row r="21" spans="1:21" ht="15.75" customHeight="1" x14ac:dyDescent="0.25">
      <c r="A21" s="5" t="s">
        <v>23</v>
      </c>
      <c r="B21" s="6"/>
      <c r="C21" s="6"/>
      <c r="D21" s="6"/>
      <c r="E21" s="17">
        <f>('Wireline (RV) '!E21)/('Wireline (RV) '!E36)*100</f>
        <v>0.41899441340782123</v>
      </c>
      <c r="F21" s="6" t="s">
        <v>24</v>
      </c>
      <c r="G21" s="6"/>
      <c r="H21" s="6"/>
      <c r="I21" s="6"/>
      <c r="J21" s="6"/>
      <c r="K21" s="6"/>
      <c r="L21" s="6"/>
      <c r="M21" s="6"/>
      <c r="N21" s="6"/>
      <c r="O21" s="6"/>
      <c r="P21" s="6"/>
      <c r="Q21" s="6"/>
      <c r="R21" s="6"/>
      <c r="S21" s="6"/>
      <c r="T21" s="6"/>
      <c r="U21" s="6"/>
    </row>
    <row r="22" spans="1:21" ht="15.75" customHeight="1" x14ac:dyDescent="0.25">
      <c r="A22" s="5" t="s">
        <v>25</v>
      </c>
      <c r="B22" s="6"/>
      <c r="C22" s="6"/>
      <c r="D22" s="6"/>
      <c r="E22" s="6"/>
      <c r="F22" s="6"/>
      <c r="G22" s="6"/>
      <c r="H22" s="17">
        <f>('Wireline (RV) '!H22)/('Wireline (RV) '!H36)*100</f>
        <v>0.1933333333333333</v>
      </c>
      <c r="I22" s="17">
        <f>('Wireline (RV) '!I22)/('Wireline (RV) '!I36)*100</f>
        <v>0.18165680473372781</v>
      </c>
      <c r="J22" s="17">
        <f>('Wireline (RV) '!J22)/('Wireline (RV) '!J36)*100</f>
        <v>0.19573170731707318</v>
      </c>
      <c r="K22" s="17">
        <f>('Wireline (RV) '!K22)/('Wireline (RV) '!K36)*100</f>
        <v>0.20440251572327045</v>
      </c>
      <c r="L22" s="17">
        <f>('Wireline (RV) '!L22)/('Wireline (RV) '!L36)*100</f>
        <v>0.20705128205128204</v>
      </c>
      <c r="M22" s="17">
        <f>('Wireline (RV) '!M22)/('Wireline (RV) '!M36)*100</f>
        <v>0.20200000000000001</v>
      </c>
      <c r="N22" s="6"/>
      <c r="O22" s="6"/>
      <c r="P22" s="6"/>
      <c r="Q22" s="6"/>
      <c r="R22" s="6"/>
      <c r="S22" s="6"/>
      <c r="T22" s="6"/>
      <c r="U22" s="6"/>
    </row>
    <row r="23" spans="1:21" ht="15.75" customHeight="1" x14ac:dyDescent="0.25">
      <c r="A23" s="5" t="s">
        <v>26</v>
      </c>
      <c r="B23" s="6"/>
      <c r="C23" s="6"/>
      <c r="D23" s="6"/>
      <c r="E23" s="6"/>
      <c r="F23" s="6"/>
      <c r="G23" s="17">
        <f>('Wireline (RV) '!G23)/('Wireline (RV) '!G36)*100</f>
        <v>1.8926161616161619E-2</v>
      </c>
      <c r="H23" s="17">
        <f>('Wireline (RV) '!H23)/('Wireline (RV) '!H36)*100</f>
        <v>2.5555555555555554E-2</v>
      </c>
      <c r="I23" s="17">
        <f>('Wireline (RV) '!I23)/('Wireline (RV) '!I36)*100</f>
        <v>3.6686390532544376E-2</v>
      </c>
      <c r="J23" s="17">
        <f>('Wireline (RV) '!J23)/('Wireline (RV) '!J36)*100</f>
        <v>3.9634146341463415E-2</v>
      </c>
      <c r="K23" s="17">
        <f>('Wireline (RV) '!K23)/('Wireline (RV) '!K36)*100</f>
        <v>4.3396226415094344E-2</v>
      </c>
      <c r="L23" s="17">
        <f>('Wireline (RV) '!L23)/('Wireline (RV) '!L36)*100</f>
        <v>4.7599999999999996E-2</v>
      </c>
      <c r="M23" s="17">
        <f>('Wireline (RV) '!M23)/('Wireline (RV) '!M36)*100</f>
        <v>5.4846666666666669E-2</v>
      </c>
      <c r="N23" s="6"/>
      <c r="O23" s="6"/>
      <c r="P23" s="6"/>
      <c r="Q23" s="6"/>
      <c r="R23" s="6"/>
      <c r="S23" s="6"/>
      <c r="T23" s="6"/>
      <c r="U23" s="6"/>
    </row>
    <row r="24" spans="1:21" ht="15.75" customHeight="1" x14ac:dyDescent="0.25">
      <c r="A24" s="5" t="s">
        <v>27</v>
      </c>
      <c r="B24" s="6"/>
      <c r="C24" s="6"/>
      <c r="D24" s="6"/>
      <c r="E24" s="6"/>
      <c r="F24" s="17">
        <f>('Wireline (RV) '!F24)/('Wireline (RV) '!F36)*100</f>
        <v>6.8816037735849056</v>
      </c>
      <c r="G24" s="6" t="s">
        <v>28</v>
      </c>
      <c r="H24" s="6"/>
      <c r="I24" s="6"/>
      <c r="J24" s="6"/>
      <c r="K24" s="6"/>
      <c r="L24" s="6"/>
      <c r="M24" s="6"/>
      <c r="N24" s="6"/>
      <c r="O24" s="6"/>
      <c r="P24" s="6"/>
      <c r="Q24" s="6"/>
      <c r="R24" s="6"/>
      <c r="S24" s="6"/>
      <c r="T24" s="6"/>
      <c r="U24" s="6"/>
    </row>
    <row r="25" spans="1:21" ht="15.75" customHeight="1" x14ac:dyDescent="0.25">
      <c r="A25" s="5" t="s">
        <v>29</v>
      </c>
      <c r="B25" s="6"/>
      <c r="C25" s="6"/>
      <c r="D25" s="17">
        <f>('Wireline (RV) '!D25)/('Wireline (RV) '!D36)*100</f>
        <v>0.56326530612244896</v>
      </c>
      <c r="E25" s="17">
        <f>('Wireline (RV) '!E25)/('Wireline (RV) '!E36)*100</f>
        <v>3.981005586592179</v>
      </c>
      <c r="F25" s="17">
        <f>('Wireline (RV) '!F25)/('Wireline (RV) '!F36)*100</f>
        <v>3.5773584905660378</v>
      </c>
      <c r="G25" s="17">
        <f>('Wireline (RV) '!G25)/('Wireline (RV) '!G36)*100</f>
        <v>4.0616161616161621</v>
      </c>
      <c r="H25" s="6" t="s">
        <v>30</v>
      </c>
      <c r="I25" s="6"/>
      <c r="J25" s="6"/>
      <c r="K25" s="6"/>
      <c r="L25" s="6"/>
      <c r="M25" s="6"/>
      <c r="N25" s="6"/>
      <c r="O25" s="6"/>
      <c r="P25" s="6"/>
      <c r="Q25" s="6"/>
      <c r="R25" s="6"/>
      <c r="S25" s="6"/>
      <c r="T25" s="6"/>
      <c r="U25" s="6"/>
    </row>
    <row r="26" spans="1:21" ht="15.75" customHeight="1" x14ac:dyDescent="0.25">
      <c r="A26" s="5" t="s">
        <v>31</v>
      </c>
      <c r="B26" s="6"/>
      <c r="C26" s="6"/>
      <c r="D26" s="6"/>
      <c r="E26" s="6"/>
      <c r="F26" s="17">
        <f>('Wireline (RV) '!F26)/('Wireline (RV) '!F36)*100</f>
        <v>1.2688679245283019</v>
      </c>
      <c r="G26" s="17">
        <f>('Wireline (RV) '!G26)/('Wireline (RV) '!G36)*100</f>
        <v>1.8106060606060606</v>
      </c>
      <c r="H26" s="6" t="s">
        <v>32</v>
      </c>
      <c r="I26" s="6"/>
      <c r="J26" s="6"/>
      <c r="K26" s="6"/>
      <c r="L26" s="6"/>
      <c r="M26" s="6"/>
      <c r="N26" s="6"/>
      <c r="O26" s="6"/>
      <c r="P26" s="6"/>
      <c r="Q26" s="6"/>
      <c r="R26" s="6"/>
      <c r="S26" s="6"/>
      <c r="T26" s="6"/>
      <c r="U26" s="6"/>
    </row>
    <row r="27" spans="1:21" ht="15.75" customHeight="1" x14ac:dyDescent="0.25">
      <c r="A27" s="5" t="s">
        <v>33</v>
      </c>
      <c r="B27" s="6"/>
      <c r="C27" s="6"/>
      <c r="D27" s="6"/>
      <c r="E27" s="6"/>
      <c r="F27" s="17">
        <f>('Wireline (RV) '!F27)/('Wireline (RV) '!F36)*100</f>
        <v>0.34575471698113203</v>
      </c>
      <c r="G27" s="6" t="s">
        <v>31</v>
      </c>
      <c r="H27" s="6"/>
      <c r="I27" s="6"/>
      <c r="J27" s="6"/>
      <c r="K27" s="6"/>
      <c r="L27" s="6"/>
      <c r="M27" s="6"/>
      <c r="N27" s="6"/>
      <c r="O27" s="6"/>
      <c r="P27" s="6"/>
      <c r="Q27" s="6"/>
      <c r="R27" s="6"/>
      <c r="S27" s="6"/>
      <c r="T27" s="6"/>
      <c r="U27" s="6"/>
    </row>
    <row r="28" spans="1:21" ht="15.75" customHeight="1" x14ac:dyDescent="0.25">
      <c r="A28" s="5" t="s">
        <v>34</v>
      </c>
      <c r="B28" s="6"/>
      <c r="C28" s="6"/>
      <c r="D28" s="6"/>
      <c r="E28" s="17">
        <f>('Wireline (RV) '!E28)/('Wireline (RV) '!E36)*100</f>
        <v>3.5195530726256981E-2</v>
      </c>
      <c r="F28" s="17">
        <f>('Wireline (RV) '!F28)/('Wireline (RV) '!F36)*100</f>
        <v>9.8113207547169817E-2</v>
      </c>
      <c r="G28" s="6" t="s">
        <v>35</v>
      </c>
      <c r="H28" s="6"/>
      <c r="I28" s="6"/>
      <c r="J28" s="6"/>
      <c r="K28" s="6"/>
      <c r="L28" s="6"/>
      <c r="M28" s="6"/>
      <c r="N28" s="6"/>
      <c r="O28" s="6"/>
      <c r="P28" s="6"/>
      <c r="Q28" s="6"/>
      <c r="R28" s="6"/>
      <c r="S28" s="6"/>
      <c r="T28" s="6"/>
      <c r="U28" s="6"/>
    </row>
    <row r="29" spans="1:21" ht="15.75" customHeight="1" x14ac:dyDescent="0.25">
      <c r="A29" s="5" t="s">
        <v>36</v>
      </c>
      <c r="B29" s="6"/>
      <c r="C29" s="6"/>
      <c r="D29" s="6"/>
      <c r="E29" s="6"/>
      <c r="F29" s="17">
        <f>('Wireline (RV) '!F29)/('Wireline (RV) '!F36)*100</f>
        <v>0.33726415094339623</v>
      </c>
      <c r="G29" s="6" t="s">
        <v>37</v>
      </c>
      <c r="H29" s="6"/>
      <c r="I29" s="6"/>
      <c r="J29" s="6"/>
      <c r="K29" s="6"/>
      <c r="L29" s="6"/>
      <c r="M29" s="6"/>
      <c r="N29" s="6"/>
      <c r="O29" s="6"/>
      <c r="P29" s="6"/>
      <c r="Q29" s="6"/>
      <c r="R29" s="6"/>
      <c r="S29" s="6"/>
      <c r="T29" s="6"/>
      <c r="U29" s="6"/>
    </row>
    <row r="30" spans="1:21" ht="15.75" customHeight="1" x14ac:dyDescent="0.25">
      <c r="A30" s="5" t="s">
        <v>38</v>
      </c>
      <c r="B30" s="6"/>
      <c r="C30" s="6"/>
      <c r="D30" s="6"/>
      <c r="E30" s="6"/>
      <c r="F30" s="17">
        <f>('Wireline (RV) '!F30)/('Wireline (RV) '!F36)*100</f>
        <v>3.160377358490566E-2</v>
      </c>
      <c r="G30" s="6"/>
      <c r="H30" s="6"/>
      <c r="I30" s="6"/>
      <c r="J30" s="6"/>
      <c r="K30" s="6"/>
      <c r="L30" s="6"/>
      <c r="M30" s="6"/>
      <c r="N30" s="6"/>
      <c r="O30" s="6"/>
      <c r="P30" s="6"/>
      <c r="Q30" s="6"/>
      <c r="R30" s="6"/>
      <c r="S30" s="6"/>
      <c r="T30" s="6"/>
      <c r="U30" s="6"/>
    </row>
    <row r="31" spans="1:21" ht="15.75" customHeight="1" x14ac:dyDescent="0.25">
      <c r="A31" s="5" t="s">
        <v>39</v>
      </c>
      <c r="B31" s="6"/>
      <c r="C31" s="6"/>
      <c r="D31" s="6"/>
      <c r="E31" s="6"/>
      <c r="F31" s="6"/>
      <c r="G31" s="6"/>
      <c r="H31" s="17">
        <f>('Wireline (RV) '!H31)/('Wireline (RV) '!H36)*100</f>
        <v>1.2777777777777777E-2</v>
      </c>
      <c r="I31" s="17">
        <f>('Wireline (RV) '!I31)/('Wireline (RV) '!I36)*100</f>
        <v>1.3609467455621301E-2</v>
      </c>
      <c r="J31" s="17">
        <f>('Wireline (RV) '!J31)/('Wireline (RV) '!J36)*100</f>
        <v>9.7560975609756097E-3</v>
      </c>
      <c r="K31" s="6"/>
      <c r="L31" s="6"/>
      <c r="M31" s="6"/>
      <c r="N31" s="6"/>
      <c r="O31" s="6"/>
      <c r="P31" s="6"/>
      <c r="Q31" s="6"/>
      <c r="R31" s="6"/>
      <c r="S31" s="6"/>
      <c r="T31" s="6"/>
      <c r="U31" s="6"/>
    </row>
    <row r="32" spans="1:21" ht="15.75" customHeight="1" x14ac:dyDescent="0.25">
      <c r="A32" s="5" t="s">
        <v>40</v>
      </c>
      <c r="B32" s="17">
        <f>('Wireline (RV) '!B32)/('Wireline (RV) '!B36)*100</f>
        <v>1.1824509267224523</v>
      </c>
      <c r="C32" s="17">
        <f>('Wireline (RV) '!C32)/('Wireline (RV) '!C36)*100</f>
        <v>1.1736988648532878</v>
      </c>
      <c r="D32" s="17">
        <f>('Wireline (RV) '!D32)/('Wireline (RV) '!D36)*100</f>
        <v>1.2</v>
      </c>
      <c r="E32" s="17">
        <f>('Wireline (RV) '!E32)/('Wireline (RV) '!E36)*100</f>
        <v>1.2</v>
      </c>
      <c r="F32" s="17">
        <f>('Wireline (RV) '!F32)/('Wireline (RV) '!F36)*100</f>
        <v>1.3132075471698113</v>
      </c>
      <c r="G32" s="17">
        <f>('Wireline (RV) '!G32)/('Wireline (RV) '!G36)*100</f>
        <v>1.8636363636363635</v>
      </c>
      <c r="H32" s="17">
        <f>('Wireline (RV) '!H32)/('Wireline (RV) '!H36)*100</f>
        <v>2.4444444444444446</v>
      </c>
      <c r="I32" s="17">
        <f>('Wireline (RV) '!I32)/('Wireline (RV) '!I36)*100</f>
        <v>2.470414201183432</v>
      </c>
      <c r="J32" s="17">
        <f>('Wireline (RV) '!J32)/('Wireline (RV) '!J36)*100</f>
        <v>2.8652439024390244</v>
      </c>
      <c r="K32" s="17">
        <f>('Wireline (RV) '!K32)/('Wireline (RV) '!K36)*100</f>
        <v>2.9836477987421381</v>
      </c>
      <c r="L32" s="17">
        <f>('Wireline (RV) '!L32)/('Wireline (RV) '!L36)*100</f>
        <v>2.948303047895501</v>
      </c>
      <c r="M32" s="17">
        <f>('Wireline (RV) '!M32)/('Wireline (RV) '!M36)*100</f>
        <v>3.3740000000000001</v>
      </c>
      <c r="N32" s="6"/>
      <c r="O32" s="6"/>
      <c r="P32" s="6"/>
      <c r="Q32" s="6"/>
      <c r="R32" s="6"/>
      <c r="S32" s="6"/>
      <c r="T32" s="6"/>
      <c r="U32" s="6"/>
    </row>
    <row r="33" spans="1:21" ht="15.75" customHeight="1" x14ac:dyDescent="0.25">
      <c r="A33" s="9"/>
      <c r="B33" s="24"/>
      <c r="C33" s="24"/>
      <c r="D33" s="24"/>
      <c r="E33" s="24"/>
      <c r="F33" s="24"/>
      <c r="G33" s="24"/>
      <c r="H33" s="24"/>
      <c r="I33" s="24"/>
      <c r="J33" s="40"/>
      <c r="K33" s="24"/>
      <c r="L33" s="24"/>
      <c r="M33" s="24"/>
      <c r="N33" s="24"/>
      <c r="O33" s="24"/>
      <c r="P33" s="24"/>
      <c r="Q33" s="24"/>
      <c r="R33" s="24"/>
      <c r="S33" s="24"/>
      <c r="T33" s="24"/>
      <c r="U33" s="24"/>
    </row>
    <row r="34" spans="1:21" ht="15.75" customHeight="1" x14ac:dyDescent="0.25">
      <c r="A34" s="9"/>
      <c r="B34" s="24"/>
      <c r="C34" s="24"/>
      <c r="D34" s="24"/>
      <c r="E34" s="24"/>
      <c r="F34" s="24"/>
      <c r="G34" s="24"/>
      <c r="H34" s="24"/>
      <c r="I34" s="24"/>
      <c r="J34" s="40"/>
      <c r="K34" s="24"/>
      <c r="L34" s="24"/>
      <c r="M34" s="24"/>
      <c r="N34" s="24"/>
      <c r="O34" s="24"/>
      <c r="P34" s="24"/>
      <c r="Q34" s="24"/>
      <c r="R34" s="24"/>
      <c r="S34" s="24"/>
      <c r="T34" s="24"/>
      <c r="U34" s="24"/>
    </row>
    <row r="35" spans="1:21" ht="15.75" customHeight="1" x14ac:dyDescent="0.25">
      <c r="A35" s="9"/>
      <c r="B35" s="24"/>
      <c r="C35" s="24"/>
      <c r="D35" s="24"/>
      <c r="E35" s="24"/>
      <c r="F35" s="24"/>
      <c r="G35" s="24"/>
      <c r="H35" s="24"/>
      <c r="I35" s="24"/>
      <c r="J35" s="40"/>
      <c r="K35" s="24"/>
      <c r="L35" s="24"/>
      <c r="M35" s="24"/>
      <c r="N35" s="24"/>
      <c r="O35" s="24"/>
      <c r="P35" s="24"/>
      <c r="Q35" s="24"/>
      <c r="R35" s="24"/>
      <c r="S35" s="24"/>
      <c r="T35" s="24"/>
      <c r="U35" s="24"/>
    </row>
    <row r="36" spans="1:21" ht="15.75" customHeight="1" x14ac:dyDescent="0.25">
      <c r="A36" s="41" t="s">
        <v>41</v>
      </c>
      <c r="B36" s="54">
        <f>'Wireline (RV) '!B36</f>
        <v>12787</v>
      </c>
      <c r="C36" s="54">
        <f>'Wireline (RV) '!C36</f>
        <v>14007</v>
      </c>
      <c r="D36" s="54">
        <f>'Wireline (RV) '!D36</f>
        <v>14700</v>
      </c>
      <c r="E36" s="54">
        <f>'Wireline (RV) '!E36</f>
        <v>17900</v>
      </c>
      <c r="F36" s="54">
        <f>'Wireline (RV) '!F36</f>
        <v>21200</v>
      </c>
      <c r="G36" s="54">
        <f>'Wireline (RV) '!G36</f>
        <v>19800</v>
      </c>
      <c r="H36" s="54">
        <f>'Wireline (RV) '!H36</f>
        <v>18000</v>
      </c>
      <c r="I36" s="54">
        <f>'Wireline (RV) '!I36</f>
        <v>16900</v>
      </c>
      <c r="J36" s="54">
        <f>'Wireline (RV) '!J36</f>
        <v>16400</v>
      </c>
      <c r="K36" s="54">
        <f>'Wireline (RV) '!K36</f>
        <v>15900</v>
      </c>
      <c r="L36" s="54">
        <f>'Wireline (RV) '!L36</f>
        <v>15600</v>
      </c>
      <c r="M36" s="55">
        <f>'Wireline (RV) '!M36</f>
        <v>15000</v>
      </c>
      <c r="N36" s="55"/>
      <c r="O36" s="55"/>
      <c r="P36" s="55"/>
      <c r="Q36" s="55"/>
      <c r="R36" s="55"/>
      <c r="S36" s="55"/>
      <c r="T36" s="55"/>
      <c r="U36" s="55"/>
    </row>
    <row r="37" spans="1:21" ht="15.75" customHeight="1" x14ac:dyDescent="0.25">
      <c r="A37" s="56" t="s">
        <v>42</v>
      </c>
      <c r="B37" s="57">
        <f t="shared" ref="B37:C37" si="0">SUM(B3+B11+B12+B17)</f>
        <v>91.584421678266992</v>
      </c>
      <c r="C37" s="57">
        <f t="shared" si="0"/>
        <v>89.346041265081737</v>
      </c>
      <c r="D37" s="57">
        <f>SUM(D3+D11+D10+D17)</f>
        <v>88.3</v>
      </c>
      <c r="E37" s="57">
        <f>SUM(E3+E11+E10+E25)</f>
        <v>82.066480446927372</v>
      </c>
      <c r="F37" s="57">
        <f>SUM(F3+F10+F24+F13)</f>
        <v>91.723082746626417</v>
      </c>
      <c r="G37" s="57">
        <f>SUM(G3+G10+G25+G13)</f>
        <v>80.673737373737367</v>
      </c>
      <c r="H37" s="57">
        <f>SUM(H3+H10+H15+H13)</f>
        <v>91.032430439344267</v>
      </c>
      <c r="I37" s="57">
        <f t="shared" ref="I37:M37" si="1">SUM(I3+I10+I14+I13)</f>
        <v>86.23704311560806</v>
      </c>
      <c r="J37" s="57">
        <f t="shared" si="1"/>
        <v>86.972293984521713</v>
      </c>
      <c r="K37" s="57">
        <f t="shared" si="1"/>
        <v>86.241665718000078</v>
      </c>
      <c r="L37" s="57">
        <f t="shared" si="1"/>
        <v>85.347979240751926</v>
      </c>
      <c r="M37" s="57">
        <f t="shared" si="1"/>
        <v>86.757999999999996</v>
      </c>
      <c r="N37" s="25"/>
      <c r="O37" s="25"/>
      <c r="P37" s="25"/>
      <c r="Q37" s="25"/>
      <c r="R37" s="25"/>
      <c r="S37" s="25"/>
      <c r="T37" s="25"/>
      <c r="U37" s="25"/>
    </row>
    <row r="38" spans="1:21" ht="15.75" customHeight="1" x14ac:dyDescent="0.25">
      <c r="A38" s="56" t="s">
        <v>43</v>
      </c>
      <c r="B38" s="58">
        <f t="shared" ref="B38:M38" si="2">SUMSQ(B3,B6:B31)</f>
        <v>5031.5880111800952</v>
      </c>
      <c r="C38" s="58">
        <f t="shared" si="2"/>
        <v>4427.1752164591235</v>
      </c>
      <c r="D38" s="58">
        <f t="shared" si="2"/>
        <v>4189.2971456337646</v>
      </c>
      <c r="E38" s="58">
        <f t="shared" si="2"/>
        <v>3360.4493907805631</v>
      </c>
      <c r="F38" s="58">
        <f t="shared" si="2"/>
        <v>4131.837829476849</v>
      </c>
      <c r="G38" s="58">
        <f t="shared" si="2"/>
        <v>2941.0006924996701</v>
      </c>
      <c r="H38" s="58">
        <f t="shared" si="2"/>
        <v>3862.5093690521121</v>
      </c>
      <c r="I38" s="58">
        <f t="shared" si="2"/>
        <v>3421.2803516476324</v>
      </c>
      <c r="J38" s="58">
        <f t="shared" si="2"/>
        <v>3462.675423020949</v>
      </c>
      <c r="K38" s="58">
        <f t="shared" si="2"/>
        <v>3366.558239459469</v>
      </c>
      <c r="L38" s="58">
        <f t="shared" si="2"/>
        <v>3258.7267892630334</v>
      </c>
      <c r="M38" s="58">
        <f t="shared" si="2"/>
        <v>3284.6312068235106</v>
      </c>
      <c r="N38" s="24"/>
      <c r="O38" s="24"/>
      <c r="P38" s="24"/>
      <c r="Q38" s="24"/>
      <c r="R38" s="24"/>
      <c r="S38" s="24"/>
      <c r="T38" s="24"/>
      <c r="U38" s="24"/>
    </row>
    <row r="39" spans="1:21" ht="15.75" customHeight="1" x14ac:dyDescent="0.25">
      <c r="A39" s="59" t="s">
        <v>44</v>
      </c>
      <c r="B39" s="50"/>
      <c r="C39" s="50"/>
      <c r="D39" s="50"/>
      <c r="E39" s="50"/>
      <c r="F39" s="50">
        <f>SUM(F4+F10+F24+F5)</f>
        <v>87.863177086249038</v>
      </c>
      <c r="G39" s="50">
        <f t="shared" ref="G39:M39" si="3">SUM(G4+G10+G13+G5)</f>
        <v>76.61212121212121</v>
      </c>
      <c r="H39" s="50">
        <f t="shared" si="3"/>
        <v>88.175763772677584</v>
      </c>
      <c r="I39" s="50">
        <f t="shared" si="3"/>
        <v>82.963829962168973</v>
      </c>
      <c r="J39" s="50">
        <f t="shared" si="3"/>
        <v>83.556074020226063</v>
      </c>
      <c r="K39" s="50">
        <f t="shared" si="3"/>
        <v>82.58930817610063</v>
      </c>
      <c r="L39" s="50">
        <f t="shared" si="3"/>
        <v>81.475543343316033</v>
      </c>
      <c r="M39" s="50">
        <f t="shared" si="3"/>
        <v>81.971333333333334</v>
      </c>
      <c r="N39" s="51"/>
      <c r="O39" s="51"/>
      <c r="P39" s="51"/>
      <c r="Q39" s="51"/>
      <c r="R39" s="51"/>
      <c r="S39" s="51"/>
      <c r="T39" s="51"/>
      <c r="U39" s="51"/>
    </row>
    <row r="40" spans="1:21" ht="15.75" customHeight="1" x14ac:dyDescent="0.25">
      <c r="A40" s="59" t="s">
        <v>45</v>
      </c>
      <c r="B40" s="50"/>
      <c r="C40" s="50"/>
      <c r="D40" s="50"/>
      <c r="E40" s="50"/>
      <c r="F40" s="50">
        <f t="shared" ref="F40:M40" si="4">SUMSQ(F4:F31)</f>
        <v>3502.0453766466594</v>
      </c>
      <c r="G40" s="50">
        <f t="shared" si="4"/>
        <v>2454.6065051718465</v>
      </c>
      <c r="H40" s="50">
        <f t="shared" si="4"/>
        <v>2673.0751340013667</v>
      </c>
      <c r="I40" s="50">
        <f t="shared" si="4"/>
        <v>2396.3688378354486</v>
      </c>
      <c r="J40" s="50">
        <f t="shared" si="4"/>
        <v>2435.6733633585268</v>
      </c>
      <c r="K40" s="50">
        <f t="shared" si="4"/>
        <v>2356.5183676189563</v>
      </c>
      <c r="L40" s="50">
        <f t="shared" si="4"/>
        <v>2280.3811521818252</v>
      </c>
      <c r="M40" s="50">
        <f t="shared" si="4"/>
        <v>2296.6905134901772</v>
      </c>
      <c r="N40" s="51"/>
      <c r="O40" s="51"/>
      <c r="P40" s="51"/>
      <c r="Q40" s="51"/>
      <c r="R40" s="51"/>
      <c r="S40" s="51"/>
      <c r="T40" s="51"/>
      <c r="U40" s="51"/>
    </row>
    <row r="41" spans="1:21" ht="15.75" customHeight="1" x14ac:dyDescent="0.25">
      <c r="A41" s="25"/>
      <c r="B41" s="25"/>
      <c r="C41" s="25"/>
      <c r="D41" s="25"/>
      <c r="E41" s="25"/>
      <c r="F41" s="25"/>
      <c r="G41" s="25"/>
      <c r="H41" s="25"/>
      <c r="I41" s="25"/>
      <c r="J41" s="25"/>
      <c r="K41" s="25"/>
      <c r="L41" s="25"/>
      <c r="M41" s="25"/>
      <c r="N41" s="25"/>
      <c r="O41" s="25"/>
      <c r="P41" s="25"/>
      <c r="Q41" s="25"/>
      <c r="R41" s="25"/>
      <c r="S41" s="25"/>
      <c r="T41" s="25"/>
      <c r="U41" s="25"/>
    </row>
    <row r="42" spans="1:21" ht="15.75" customHeight="1" x14ac:dyDescent="0.25">
      <c r="A42" s="25"/>
      <c r="B42" s="56"/>
      <c r="C42" s="25"/>
      <c r="D42" s="25"/>
      <c r="E42" s="25"/>
      <c r="F42" s="25"/>
      <c r="G42" s="25"/>
      <c r="H42" s="25"/>
      <c r="I42" s="25"/>
      <c r="J42" s="25"/>
      <c r="K42" s="25"/>
      <c r="L42" s="25"/>
      <c r="M42" s="25"/>
      <c r="N42" s="25"/>
      <c r="O42" s="25"/>
      <c r="P42" s="25"/>
      <c r="Q42" s="25"/>
      <c r="R42" s="25"/>
      <c r="S42" s="25"/>
      <c r="T42" s="25"/>
      <c r="U42" s="25"/>
    </row>
    <row r="43" spans="1:21" ht="15.75" customHeight="1" x14ac:dyDescent="0.25">
      <c r="A43" s="56"/>
      <c r="B43" s="25"/>
      <c r="C43" s="25"/>
      <c r="D43" s="25"/>
      <c r="E43" s="25"/>
      <c r="F43" s="25"/>
      <c r="G43" s="25"/>
      <c r="H43" s="25"/>
      <c r="I43" s="25"/>
      <c r="J43" s="25"/>
      <c r="K43" s="9"/>
      <c r="L43" s="25"/>
      <c r="M43" s="25"/>
      <c r="N43" s="25"/>
      <c r="O43" s="25"/>
      <c r="P43" s="25"/>
      <c r="Q43" s="25"/>
      <c r="R43" s="25"/>
      <c r="S43" s="25"/>
      <c r="T43" s="25"/>
      <c r="U43" s="25"/>
    </row>
  </sheetData>
  <mergeCells count="2">
    <mergeCell ref="B1:M1"/>
    <mergeCell ref="O6:S1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7"/>
  <sheetViews>
    <sheetView workbookViewId="0">
      <pane xSplit="1" topLeftCell="B1" activePane="topRight" state="frozen"/>
      <selection pane="topRight" activeCell="C2" sqref="C2"/>
    </sheetView>
  </sheetViews>
  <sheetFormatPr defaultColWidth="17.25" defaultRowHeight="15" customHeight="1" x14ac:dyDescent="0.2"/>
  <cols>
    <col min="1" max="1" width="30.125" customWidth="1"/>
    <col min="2" max="2" width="10.625" customWidth="1"/>
    <col min="3" max="3" width="9.125" customWidth="1"/>
    <col min="4" max="4" width="9" customWidth="1"/>
    <col min="5" max="9" width="9.375" customWidth="1"/>
    <col min="10" max="10" width="11.125" customWidth="1"/>
    <col min="11" max="11" width="12.125" customWidth="1"/>
    <col min="12" max="12" width="9.375" customWidth="1"/>
    <col min="13" max="13" width="14.625" customWidth="1"/>
    <col min="14" max="20" width="9.375" customWidth="1"/>
  </cols>
  <sheetData>
    <row r="1" spans="1:20" ht="18" customHeight="1" x14ac:dyDescent="0.25">
      <c r="A1" s="60"/>
      <c r="B1" s="627" t="s">
        <v>49</v>
      </c>
      <c r="C1" s="623"/>
      <c r="D1" s="623"/>
      <c r="E1" s="623"/>
      <c r="F1" s="623"/>
      <c r="G1" s="623"/>
      <c r="H1" s="623"/>
      <c r="I1" s="623"/>
      <c r="J1" s="623"/>
      <c r="K1" s="623"/>
      <c r="L1" s="623"/>
      <c r="M1" s="623"/>
      <c r="N1" s="7"/>
      <c r="O1" s="7"/>
      <c r="P1" s="7"/>
      <c r="Q1" s="7"/>
      <c r="R1" s="7"/>
      <c r="S1" s="7"/>
      <c r="T1" s="7"/>
    </row>
    <row r="2" spans="1:20" ht="15.75" customHeight="1" x14ac:dyDescent="0.25">
      <c r="A2" s="12"/>
      <c r="B2" s="12">
        <v>1985</v>
      </c>
      <c r="C2" s="12">
        <v>1988</v>
      </c>
      <c r="D2" s="12">
        <v>1992</v>
      </c>
      <c r="E2" s="12">
        <v>1996</v>
      </c>
      <c r="F2" s="12">
        <v>2000</v>
      </c>
      <c r="G2" s="12">
        <v>2004</v>
      </c>
      <c r="H2" s="12">
        <v>2008</v>
      </c>
      <c r="I2" s="12">
        <v>2010</v>
      </c>
      <c r="J2" s="12">
        <v>2011</v>
      </c>
      <c r="K2" s="12">
        <v>2012</v>
      </c>
      <c r="L2" s="12">
        <v>2013</v>
      </c>
      <c r="M2" s="12">
        <v>2014</v>
      </c>
      <c r="N2" s="12"/>
      <c r="O2" s="12"/>
      <c r="P2" s="12"/>
      <c r="Q2" s="12"/>
      <c r="R2" s="12"/>
      <c r="S2" s="12"/>
      <c r="T2" s="12"/>
    </row>
    <row r="3" spans="1:20" ht="15.75" customHeight="1" x14ac:dyDescent="0.25">
      <c r="A3" s="61" t="s">
        <v>50</v>
      </c>
      <c r="B3" s="23">
        <v>109.7</v>
      </c>
      <c r="C3" s="22">
        <v>146.19999999999999</v>
      </c>
      <c r="D3" s="22">
        <v>239.5</v>
      </c>
      <c r="E3" s="22">
        <v>1102</v>
      </c>
      <c r="F3" s="22">
        <v>1639.1</v>
      </c>
      <c r="G3" s="23">
        <v>2783.5</v>
      </c>
      <c r="H3" s="22">
        <v>6335</v>
      </c>
      <c r="I3" s="22">
        <v>6968</v>
      </c>
      <c r="J3" s="22">
        <v>7138</v>
      </c>
      <c r="K3" s="6">
        <v>7280</v>
      </c>
      <c r="L3" s="23">
        <v>7270</v>
      </c>
      <c r="M3" s="26">
        <v>7305</v>
      </c>
      <c r="N3" s="63"/>
      <c r="O3" s="63"/>
      <c r="P3" s="63"/>
      <c r="Q3" s="63"/>
      <c r="R3" s="63"/>
      <c r="S3" s="63"/>
      <c r="T3" s="63"/>
    </row>
    <row r="4" spans="1:20" ht="15.75" customHeight="1" x14ac:dyDescent="0.25">
      <c r="A4" s="61" t="s">
        <v>55</v>
      </c>
      <c r="B4" s="65"/>
      <c r="C4" s="65"/>
      <c r="D4" s="65"/>
      <c r="E4" s="22">
        <v>1</v>
      </c>
      <c r="F4" s="23">
        <v>430.5</v>
      </c>
      <c r="G4" s="22" t="s">
        <v>17</v>
      </c>
      <c r="H4" s="23"/>
      <c r="I4" s="22"/>
      <c r="J4" s="22"/>
      <c r="K4" s="6"/>
      <c r="L4" s="23"/>
      <c r="M4" s="23"/>
      <c r="N4" s="25"/>
      <c r="O4" s="25"/>
      <c r="P4" s="25"/>
      <c r="Q4" s="25"/>
      <c r="R4" s="25"/>
      <c r="S4" s="25"/>
      <c r="T4" s="25"/>
    </row>
    <row r="5" spans="1:20" ht="15.75" customHeight="1" x14ac:dyDescent="0.25">
      <c r="A5" s="61" t="s">
        <v>58</v>
      </c>
      <c r="B5" s="65"/>
      <c r="C5" s="65"/>
      <c r="D5" s="65"/>
      <c r="E5" s="23"/>
      <c r="F5" s="23">
        <v>1617.2</v>
      </c>
      <c r="G5" s="22">
        <v>2833</v>
      </c>
      <c r="H5" s="22">
        <v>4660</v>
      </c>
      <c r="I5" s="22">
        <v>5045</v>
      </c>
      <c r="J5" s="22">
        <v>5500</v>
      </c>
      <c r="K5" s="6">
        <v>5886</v>
      </c>
      <c r="L5" s="23">
        <v>6177</v>
      </c>
      <c r="M5" s="26">
        <v>6641</v>
      </c>
      <c r="N5" s="25"/>
      <c r="O5" s="25"/>
      <c r="P5" s="25"/>
      <c r="Q5" s="25"/>
      <c r="R5" s="25"/>
      <c r="S5" s="25"/>
      <c r="T5" s="25"/>
    </row>
    <row r="6" spans="1:20" ht="15.75" customHeight="1" x14ac:dyDescent="0.25">
      <c r="A6" s="61" t="s">
        <v>60</v>
      </c>
      <c r="B6" s="22"/>
      <c r="C6" s="22"/>
      <c r="D6" s="22"/>
      <c r="E6" s="22">
        <v>15.7</v>
      </c>
      <c r="F6" s="22" t="s">
        <v>13</v>
      </c>
      <c r="G6" s="22"/>
      <c r="H6" s="22"/>
      <c r="I6" s="22"/>
      <c r="J6" s="22"/>
      <c r="K6" s="6"/>
      <c r="L6" s="23"/>
      <c r="M6" s="23"/>
      <c r="N6" s="25"/>
      <c r="O6" s="25"/>
      <c r="P6" s="67"/>
      <c r="Q6" s="25"/>
      <c r="R6" s="25"/>
      <c r="S6" s="25"/>
      <c r="T6" s="25"/>
    </row>
    <row r="7" spans="1:20" ht="15.75" customHeight="1" x14ac:dyDescent="0.25">
      <c r="A7" s="61" t="s">
        <v>62</v>
      </c>
      <c r="B7" s="22">
        <v>211.3</v>
      </c>
      <c r="C7" s="22">
        <v>419</v>
      </c>
      <c r="D7" s="22">
        <v>795.8</v>
      </c>
      <c r="E7" s="22">
        <v>1071.5999999999999</v>
      </c>
      <c r="F7" s="22">
        <v>1478.3</v>
      </c>
      <c r="G7" s="22">
        <v>3204.4</v>
      </c>
      <c r="H7" s="22">
        <v>4553</v>
      </c>
      <c r="I7" s="22">
        <v>4987</v>
      </c>
      <c r="J7" s="22">
        <v>5319</v>
      </c>
      <c r="K7" s="6">
        <v>5680</v>
      </c>
      <c r="L7" s="82">
        <v>5946</v>
      </c>
      <c r="M7" s="26">
        <v>6340</v>
      </c>
      <c r="N7" s="63"/>
      <c r="O7" s="63"/>
      <c r="P7" s="63"/>
      <c r="Q7" s="63"/>
      <c r="R7" s="63"/>
      <c r="S7" s="63"/>
      <c r="T7" s="63"/>
    </row>
    <row r="8" spans="1:20" ht="15.75" customHeight="1" x14ac:dyDescent="0.25">
      <c r="A8" s="85" t="s">
        <v>66</v>
      </c>
      <c r="B8" s="87"/>
      <c r="C8" s="87"/>
      <c r="D8" s="87"/>
      <c r="E8" s="87"/>
      <c r="F8" s="73">
        <v>1262</v>
      </c>
      <c r="G8" s="87">
        <v>2818</v>
      </c>
      <c r="H8" s="87">
        <v>4481</v>
      </c>
      <c r="I8" s="87">
        <v>4906</v>
      </c>
      <c r="J8" s="87">
        <v>5231</v>
      </c>
      <c r="K8" s="35">
        <v>5586</v>
      </c>
      <c r="L8" s="87">
        <v>5849</v>
      </c>
      <c r="M8" s="111">
        <v>6241</v>
      </c>
      <c r="N8" s="202"/>
      <c r="O8" s="626" t="s">
        <v>8</v>
      </c>
      <c r="P8" s="623"/>
      <c r="Q8" s="623"/>
      <c r="R8" s="623"/>
      <c r="S8" s="623"/>
      <c r="T8" s="623"/>
    </row>
    <row r="9" spans="1:20" ht="15.75" customHeight="1" x14ac:dyDescent="0.25">
      <c r="A9" s="85" t="s">
        <v>68</v>
      </c>
      <c r="B9" s="87"/>
      <c r="C9" s="87"/>
      <c r="D9" s="87"/>
      <c r="E9" s="87"/>
      <c r="F9" s="73">
        <v>216.3</v>
      </c>
      <c r="G9" s="87">
        <v>386.4</v>
      </c>
      <c r="H9" s="87">
        <v>72</v>
      </c>
      <c r="I9" s="87">
        <v>81</v>
      </c>
      <c r="J9" s="87">
        <v>88</v>
      </c>
      <c r="K9" s="35">
        <v>94</v>
      </c>
      <c r="L9" s="87">
        <v>97</v>
      </c>
      <c r="M9" s="204">
        <v>99</v>
      </c>
      <c r="N9" s="205"/>
      <c r="O9" s="623"/>
      <c r="P9" s="623"/>
      <c r="Q9" s="623"/>
      <c r="R9" s="623"/>
      <c r="S9" s="623"/>
      <c r="T9" s="623"/>
    </row>
    <row r="10" spans="1:20" ht="15.75" customHeight="1" x14ac:dyDescent="0.25">
      <c r="A10" s="61" t="s">
        <v>19</v>
      </c>
      <c r="B10" s="65"/>
      <c r="C10" s="65"/>
      <c r="D10" s="65"/>
      <c r="E10" s="22"/>
      <c r="F10" s="23">
        <v>133</v>
      </c>
      <c r="G10" s="23">
        <v>193.8</v>
      </c>
      <c r="H10" s="23">
        <v>375.8</v>
      </c>
      <c r="I10" s="22">
        <v>408.5</v>
      </c>
      <c r="J10" s="22">
        <v>414.4</v>
      </c>
      <c r="K10" s="6">
        <v>454.2</v>
      </c>
      <c r="L10" s="23">
        <v>471.8</v>
      </c>
      <c r="M10" s="26">
        <v>482.5</v>
      </c>
      <c r="N10" s="25"/>
      <c r="O10" s="623"/>
      <c r="P10" s="623"/>
      <c r="Q10" s="623"/>
      <c r="R10" s="623"/>
      <c r="S10" s="623"/>
      <c r="T10" s="623"/>
    </row>
    <row r="11" spans="1:20" ht="15.75" customHeight="1" x14ac:dyDescent="0.25">
      <c r="A11" s="61" t="s">
        <v>15</v>
      </c>
      <c r="B11" s="65"/>
      <c r="C11" s="65"/>
      <c r="D11" s="65"/>
      <c r="E11" s="22"/>
      <c r="F11" s="22">
        <v>108.1</v>
      </c>
      <c r="G11" s="22">
        <v>181.9</v>
      </c>
      <c r="H11" s="22">
        <v>291.60000000000002</v>
      </c>
      <c r="I11" s="22">
        <v>328.2</v>
      </c>
      <c r="J11" s="22">
        <v>356.3</v>
      </c>
      <c r="K11" s="22">
        <v>362.1</v>
      </c>
      <c r="L11" s="23">
        <v>375.3</v>
      </c>
      <c r="M11" s="26">
        <v>365.7</v>
      </c>
      <c r="N11" s="63"/>
      <c r="O11" s="623"/>
      <c r="P11" s="623"/>
      <c r="Q11" s="623"/>
      <c r="R11" s="623"/>
      <c r="S11" s="623"/>
      <c r="T11" s="623"/>
    </row>
    <row r="12" spans="1:20" ht="15.75" customHeight="1" x14ac:dyDescent="0.25">
      <c r="A12" s="61" t="s">
        <v>172</v>
      </c>
      <c r="B12" s="65"/>
      <c r="C12" s="65"/>
      <c r="D12" s="65"/>
      <c r="E12" s="22"/>
      <c r="F12" s="22"/>
      <c r="G12" s="22"/>
      <c r="H12" s="22">
        <v>40.6</v>
      </c>
      <c r="I12" s="22">
        <v>59.6</v>
      </c>
      <c r="J12" s="22">
        <v>112.7</v>
      </c>
      <c r="K12" s="6">
        <v>171.6</v>
      </c>
      <c r="L12" s="23">
        <v>220.7</v>
      </c>
      <c r="M12" s="26">
        <v>287.7</v>
      </c>
      <c r="N12" s="63"/>
      <c r="O12" s="623"/>
      <c r="P12" s="623"/>
      <c r="Q12" s="623"/>
      <c r="R12" s="623"/>
      <c r="S12" s="623"/>
      <c r="T12" s="623"/>
    </row>
    <row r="13" spans="1:20" ht="15.75" customHeight="1" x14ac:dyDescent="0.25">
      <c r="A13" s="61" t="s">
        <v>195</v>
      </c>
      <c r="B13" s="65"/>
      <c r="C13" s="65"/>
      <c r="D13" s="65"/>
      <c r="E13" s="22"/>
      <c r="F13" s="22"/>
      <c r="G13" s="22"/>
      <c r="H13" s="22"/>
      <c r="I13" s="22">
        <v>29.6</v>
      </c>
      <c r="J13" s="22">
        <v>101.8</v>
      </c>
      <c r="K13" s="6">
        <v>155.9</v>
      </c>
      <c r="L13" s="23">
        <v>215.2</v>
      </c>
      <c r="M13" s="26">
        <v>279.8</v>
      </c>
      <c r="N13" s="63"/>
      <c r="O13" s="623"/>
      <c r="P13" s="623"/>
      <c r="Q13" s="623"/>
      <c r="R13" s="623"/>
      <c r="S13" s="623"/>
      <c r="T13" s="623"/>
    </row>
    <row r="14" spans="1:20" ht="15.75" customHeight="1" x14ac:dyDescent="0.25">
      <c r="A14" s="61" t="s">
        <v>202</v>
      </c>
      <c r="B14" s="65"/>
      <c r="C14" s="65"/>
      <c r="D14" s="65"/>
      <c r="E14" s="22"/>
      <c r="F14" s="22"/>
      <c r="G14" s="22"/>
      <c r="H14" s="22"/>
      <c r="I14" s="22">
        <v>9.9123091200000015</v>
      </c>
      <c r="J14" s="22">
        <v>40.08468912</v>
      </c>
      <c r="K14" s="6">
        <v>75.734999999999999</v>
      </c>
      <c r="L14" s="23">
        <v>85.8</v>
      </c>
      <c r="M14" s="26">
        <v>68.5</v>
      </c>
      <c r="N14" s="63"/>
      <c r="O14" s="623"/>
      <c r="P14" s="623"/>
      <c r="Q14" s="623"/>
      <c r="R14" s="623"/>
      <c r="S14" s="623"/>
      <c r="T14" s="623"/>
    </row>
    <row r="15" spans="1:20" ht="15.75" customHeight="1" x14ac:dyDescent="0.25">
      <c r="A15" s="61" t="s">
        <v>210</v>
      </c>
      <c r="B15" s="65"/>
      <c r="C15" s="65"/>
      <c r="D15" s="65"/>
      <c r="E15" s="22"/>
      <c r="F15" s="22"/>
      <c r="G15" s="22"/>
      <c r="H15" s="22"/>
      <c r="I15" s="22">
        <v>13.569990000000001</v>
      </c>
      <c r="J15" s="22">
        <v>41.922930000000001</v>
      </c>
      <c r="K15" s="6">
        <v>72.105000000000004</v>
      </c>
      <c r="L15" s="23">
        <v>70.099999999999994</v>
      </c>
      <c r="M15" s="26">
        <v>55.1</v>
      </c>
      <c r="N15" s="63"/>
      <c r="O15" s="623"/>
      <c r="P15" s="623"/>
      <c r="Q15" s="623"/>
      <c r="R15" s="623"/>
      <c r="S15" s="623"/>
      <c r="T15" s="623"/>
    </row>
    <row r="16" spans="1:20" ht="15.75" customHeight="1" x14ac:dyDescent="0.25">
      <c r="A16" s="61" t="s">
        <v>170</v>
      </c>
      <c r="B16" s="65"/>
      <c r="C16" s="65"/>
      <c r="D16" s="65"/>
      <c r="E16" s="22"/>
      <c r="F16" s="22"/>
      <c r="G16" s="22"/>
      <c r="H16" s="22"/>
      <c r="I16" s="22"/>
      <c r="J16" s="22"/>
      <c r="K16" s="6"/>
      <c r="L16" s="23"/>
      <c r="M16" s="23"/>
      <c r="N16" s="63"/>
      <c r="O16" s="623"/>
      <c r="P16" s="623"/>
      <c r="Q16" s="623"/>
      <c r="R16" s="623"/>
      <c r="S16" s="623"/>
      <c r="T16" s="623"/>
    </row>
    <row r="17" spans="1:20" ht="15.75" customHeight="1" x14ac:dyDescent="0.25">
      <c r="A17" s="61" t="s">
        <v>237</v>
      </c>
      <c r="B17" s="22">
        <v>2</v>
      </c>
      <c r="C17" s="22">
        <v>2</v>
      </c>
      <c r="D17" s="22">
        <v>2</v>
      </c>
      <c r="E17" s="22">
        <v>4</v>
      </c>
      <c r="F17" s="22">
        <v>6</v>
      </c>
      <c r="G17" s="22">
        <v>6</v>
      </c>
      <c r="H17" s="22">
        <v>6</v>
      </c>
      <c r="I17" s="152">
        <v>9</v>
      </c>
      <c r="J17" s="152">
        <v>9</v>
      </c>
      <c r="K17" s="27">
        <v>9</v>
      </c>
      <c r="L17" s="26">
        <v>9</v>
      </c>
      <c r="M17" s="26">
        <v>8</v>
      </c>
      <c r="N17" s="25"/>
      <c r="O17" s="623"/>
      <c r="P17" s="623"/>
      <c r="Q17" s="623"/>
      <c r="R17" s="623"/>
      <c r="S17" s="623"/>
      <c r="T17" s="623"/>
    </row>
    <row r="18" spans="1:20" ht="15.75" customHeight="1" x14ac:dyDescent="0.25">
      <c r="A18" s="61"/>
      <c r="B18" s="22"/>
      <c r="C18" s="22"/>
      <c r="D18" s="22"/>
      <c r="E18" s="22"/>
      <c r="F18" s="22"/>
      <c r="G18" s="22"/>
      <c r="H18" s="22"/>
      <c r="I18" s="22"/>
      <c r="J18" s="22"/>
      <c r="K18" s="6"/>
      <c r="L18" s="23"/>
      <c r="M18" s="23"/>
      <c r="N18" s="25"/>
      <c r="O18" s="623"/>
      <c r="P18" s="623"/>
      <c r="Q18" s="623"/>
      <c r="R18" s="623"/>
      <c r="S18" s="623"/>
      <c r="T18" s="623"/>
    </row>
    <row r="19" spans="1:20" ht="15.75" customHeight="1" x14ac:dyDescent="0.25">
      <c r="A19" s="61"/>
      <c r="B19" s="22"/>
      <c r="C19" s="22"/>
      <c r="D19" s="22"/>
      <c r="E19" s="22"/>
      <c r="F19" s="22"/>
      <c r="G19" s="22"/>
      <c r="H19" s="22"/>
      <c r="I19" s="22"/>
      <c r="J19" s="22"/>
      <c r="K19" s="6"/>
      <c r="L19" s="23"/>
      <c r="M19" s="23"/>
      <c r="N19" s="25"/>
      <c r="O19" s="623"/>
      <c r="P19" s="623"/>
      <c r="Q19" s="623"/>
      <c r="R19" s="623"/>
      <c r="S19" s="623"/>
      <c r="T19" s="623"/>
    </row>
    <row r="20" spans="1:20" ht="15.75" customHeight="1" x14ac:dyDescent="0.25">
      <c r="A20" s="61"/>
      <c r="B20" s="22"/>
      <c r="C20" s="22"/>
      <c r="D20" s="22"/>
      <c r="E20" s="22"/>
      <c r="F20" s="22"/>
      <c r="G20" s="22"/>
      <c r="H20" s="22"/>
      <c r="I20" s="22"/>
      <c r="J20" s="22"/>
      <c r="K20" s="6"/>
      <c r="L20" s="23"/>
      <c r="M20" s="23"/>
      <c r="N20" s="25"/>
      <c r="O20" s="25"/>
      <c r="P20" s="25"/>
      <c r="Q20" s="25"/>
      <c r="R20" s="25"/>
      <c r="S20" s="25"/>
      <c r="T20" s="25"/>
    </row>
    <row r="21" spans="1:20" ht="15.75" customHeight="1" x14ac:dyDescent="0.25">
      <c r="A21" s="164" t="s">
        <v>41</v>
      </c>
      <c r="B21" s="340">
        <v>321</v>
      </c>
      <c r="C21" s="340">
        <v>565.20000000000005</v>
      </c>
      <c r="D21" s="340">
        <v>931</v>
      </c>
      <c r="E21" s="340">
        <v>2175</v>
      </c>
      <c r="F21" s="340">
        <v>5400</v>
      </c>
      <c r="G21" s="340">
        <v>9200</v>
      </c>
      <c r="H21" s="340">
        <v>16200</v>
      </c>
      <c r="I21" s="340">
        <v>18000</v>
      </c>
      <c r="J21" s="340">
        <v>19300</v>
      </c>
      <c r="K21" s="341">
        <v>20316.599999999999</v>
      </c>
      <c r="L21" s="342">
        <v>21200</v>
      </c>
      <c r="M21" s="232">
        <v>22000</v>
      </c>
      <c r="N21" s="56"/>
      <c r="O21" s="56"/>
      <c r="P21" s="56"/>
      <c r="Q21" s="56"/>
      <c r="R21" s="56"/>
      <c r="S21" s="56"/>
      <c r="T21" s="56"/>
    </row>
    <row r="22" spans="1:20" ht="15.75" customHeight="1" x14ac:dyDescent="0.25">
      <c r="A22" s="164" t="s">
        <v>42</v>
      </c>
      <c r="B22" s="70">
        <f>'Wireless (MS)'!B22</f>
        <v>100</v>
      </c>
      <c r="C22" s="70">
        <f>'Wireless (MS)'!C22</f>
        <v>100</v>
      </c>
      <c r="D22" s="70">
        <f>'Wireless (MS)'!D22</f>
        <v>100</v>
      </c>
      <c r="E22" s="70">
        <f>'Wireless (MS)'!E22</f>
        <v>100</v>
      </c>
      <c r="F22" s="70">
        <f>'Wireless (MS)'!F22</f>
        <v>95.65</v>
      </c>
      <c r="G22" s="70">
        <f>'Wireless (MS)'!G22</f>
        <v>97.985869565217385</v>
      </c>
      <c r="H22" s="70">
        <f>'Wireless (MS)'!H22</f>
        <v>98.295061728395055</v>
      </c>
      <c r="I22" s="70">
        <f>'Wireless (MS)'!I22</f>
        <v>96.713888888888903</v>
      </c>
      <c r="J22" s="70">
        <f>'Wireless (MS)'!J22</f>
        <v>95.188601036269432</v>
      </c>
      <c r="K22" s="70">
        <f>'Wireless (MS)'!K22</f>
        <v>94.997194412450924</v>
      </c>
      <c r="L22" s="70">
        <f>'Wireless (MS)'!L22</f>
        <v>93.701886792452839</v>
      </c>
      <c r="M22" s="70">
        <f>'Wireless (MS)'!M22</f>
        <v>94.402272727272731</v>
      </c>
      <c r="N22" s="25"/>
      <c r="O22" s="25"/>
      <c r="P22" s="25"/>
      <c r="Q22" s="25"/>
      <c r="R22" s="25"/>
      <c r="S22" s="25"/>
      <c r="T22" s="25"/>
    </row>
    <row r="23" spans="1:20" ht="15.75" customHeight="1" x14ac:dyDescent="0.25">
      <c r="A23" s="164" t="s">
        <v>43</v>
      </c>
      <c r="B23" s="70">
        <f>'Wireless (MS)'!B23</f>
        <v>5500.8957599402192</v>
      </c>
      <c r="C23" s="70">
        <f>'Wireless (MS)'!C23</f>
        <v>6164.8082285160181</v>
      </c>
      <c r="D23" s="70">
        <f>'Wireless (MS)'!D23</f>
        <v>7968.2621853082901</v>
      </c>
      <c r="E23" s="70">
        <f>'Wireless (MS)'!E23</f>
        <v>4995.0652397938966</v>
      </c>
      <c r="F23" s="70">
        <f>'Wireless (MS)'!F23</f>
        <v>2641.3101508916325</v>
      </c>
      <c r="G23" s="70">
        <f>'Wireless (MS)'!G23</f>
        <v>3085.1354749527413</v>
      </c>
      <c r="H23" s="70">
        <f>'Wireless (MS)'!H23</f>
        <v>3155.2178997104093</v>
      </c>
      <c r="I23" s="70">
        <f>'Wireless (MS)'!I23</f>
        <v>3060.3245743364414</v>
      </c>
      <c r="J23" s="70">
        <f>'Wireless (MS)'!J23</f>
        <v>2948.2109826938072</v>
      </c>
      <c r="K23" s="70">
        <f>'Wireless (MS)'!K23</f>
        <v>2914.6879980535982</v>
      </c>
      <c r="L23" s="70">
        <f>'Wireless (MS)'!L23</f>
        <v>2822.0426644268414</v>
      </c>
      <c r="M23" s="70">
        <f>'Wireless (MS)'!M23</f>
        <v>2855.3065357438013</v>
      </c>
      <c r="N23" s="25"/>
      <c r="O23" s="25"/>
      <c r="P23" s="25"/>
      <c r="Q23" s="25"/>
      <c r="R23" s="25"/>
      <c r="S23" s="25"/>
      <c r="T23" s="25"/>
    </row>
    <row r="24" spans="1:20" ht="15.75" customHeight="1" x14ac:dyDescent="0.25">
      <c r="A24" s="241" t="s">
        <v>420</v>
      </c>
      <c r="B24" s="73"/>
      <c r="C24" s="73"/>
      <c r="D24" s="73"/>
      <c r="E24" s="73"/>
      <c r="F24" s="92">
        <f>'Wireless (MS)'!F24</f>
        <v>91.644444444444446</v>
      </c>
      <c r="G24" s="92">
        <f>'Wireless (MS)'!G24</f>
        <v>95.87934782608697</v>
      </c>
      <c r="H24" s="92">
        <f>'Wireless (MS)'!H24</f>
        <v>97.850617283950612</v>
      </c>
      <c r="I24" s="92">
        <f>'Wireless (MS)'!I24</f>
        <v>96.2638888888889</v>
      </c>
      <c r="J24" s="92">
        <f>'Wireless (MS)'!J24</f>
        <v>94.732642487046633</v>
      </c>
      <c r="K24" s="92">
        <f>'Wireless (MS)'!K24</f>
        <v>94.534518571020769</v>
      </c>
      <c r="L24" s="92">
        <f>'Wireless (MS)'!L24</f>
        <v>93.244339622641519</v>
      </c>
      <c r="M24" s="92">
        <f>'Wireless (MS)'!M24</f>
        <v>93.952272727272728</v>
      </c>
      <c r="N24" s="51"/>
      <c r="O24" s="51"/>
      <c r="P24" s="51"/>
      <c r="Q24" s="51"/>
      <c r="R24" s="51"/>
      <c r="S24" s="51"/>
      <c r="T24" s="51"/>
    </row>
    <row r="25" spans="1:20" ht="15.75" customHeight="1" x14ac:dyDescent="0.25">
      <c r="A25" s="241" t="s">
        <v>434</v>
      </c>
      <c r="B25" s="73"/>
      <c r="C25" s="73"/>
      <c r="D25" s="73"/>
      <c r="E25" s="73"/>
      <c r="F25" s="92">
        <f>'Wireless (MS)'!F25</f>
        <v>2454.0875171467765</v>
      </c>
      <c r="G25" s="92">
        <f>'Wireless (MS)'!G25</f>
        <v>2827.8398227788284</v>
      </c>
      <c r="H25" s="92">
        <f>'Wireless (MS)'!H25</f>
        <v>3130.6307940862671</v>
      </c>
      <c r="I25" s="92">
        <f>'Wireless (MS)'!I25</f>
        <v>3035.7945743364412</v>
      </c>
      <c r="J25" s="92">
        <f>'Wireless (MS)'!J25</f>
        <v>2923.4947218545904</v>
      </c>
      <c r="K25" s="92">
        <f>'Wireless (MS)'!K25</f>
        <v>2889.2456774858965</v>
      </c>
      <c r="L25" s="92">
        <f>'Wireless (MS)'!L25</f>
        <v>2796.7955569152718</v>
      </c>
      <c r="M25" s="92">
        <f>'Wireless (MS)'!M25</f>
        <v>2829.7751721074374</v>
      </c>
      <c r="N25" s="51"/>
      <c r="O25" s="51"/>
      <c r="P25" s="51"/>
      <c r="Q25" s="51"/>
      <c r="R25" s="51"/>
      <c r="S25" s="51"/>
      <c r="T25" s="51"/>
    </row>
    <row r="26" spans="1:20" ht="15.75" customHeight="1" x14ac:dyDescent="0.25">
      <c r="A26" s="25"/>
      <c r="B26" s="25"/>
      <c r="C26" s="25"/>
      <c r="D26" s="25"/>
      <c r="E26" s="25"/>
      <c r="F26" s="25"/>
      <c r="G26" s="25"/>
      <c r="H26" s="25"/>
      <c r="I26" s="25"/>
      <c r="J26" s="25"/>
      <c r="K26" s="25"/>
      <c r="L26" s="25"/>
      <c r="M26" s="25"/>
      <c r="N26" s="25"/>
      <c r="O26" s="25"/>
      <c r="P26" s="25"/>
      <c r="Q26" s="25"/>
      <c r="R26" s="25"/>
      <c r="S26" s="25"/>
      <c r="T26" s="25"/>
    </row>
    <row r="27" spans="1:20" ht="15.75" customHeight="1" x14ac:dyDescent="0.25">
      <c r="A27" s="25"/>
      <c r="B27" s="629" t="s">
        <v>305</v>
      </c>
      <c r="C27" s="623"/>
      <c r="D27" s="623"/>
      <c r="E27" s="623"/>
      <c r="F27" s="25"/>
      <c r="G27" s="25"/>
      <c r="H27" s="25"/>
      <c r="I27" s="25"/>
      <c r="J27" s="25"/>
      <c r="K27" s="25"/>
      <c r="L27" s="25"/>
      <c r="M27" s="25"/>
      <c r="N27" s="25"/>
      <c r="O27" s="25"/>
      <c r="P27" s="25"/>
      <c r="Q27" s="25"/>
      <c r="R27" s="25"/>
      <c r="S27" s="25"/>
      <c r="T27" s="25"/>
    </row>
    <row r="28" spans="1:20" ht="15.75" customHeight="1" x14ac:dyDescent="0.25">
      <c r="A28" s="25"/>
      <c r="B28" s="628" t="s">
        <v>589</v>
      </c>
      <c r="C28" s="623"/>
      <c r="D28" s="623"/>
      <c r="E28" s="623"/>
      <c r="F28" s="623"/>
      <c r="G28" s="623"/>
      <c r="H28" s="623"/>
      <c r="I28" s="623"/>
      <c r="J28" s="623"/>
      <c r="K28" s="623"/>
      <c r="L28" s="623"/>
      <c r="M28" s="623"/>
      <c r="N28" s="25"/>
      <c r="O28" s="25"/>
      <c r="P28" s="25"/>
      <c r="Q28" s="25"/>
      <c r="R28" s="25"/>
      <c r="S28" s="25"/>
      <c r="T28" s="25"/>
    </row>
    <row r="29" spans="1:20" ht="15.75" customHeight="1" x14ac:dyDescent="0.25">
      <c r="A29" s="25"/>
      <c r="B29" s="623"/>
      <c r="C29" s="623"/>
      <c r="D29" s="623"/>
      <c r="E29" s="623"/>
      <c r="F29" s="623"/>
      <c r="G29" s="623"/>
      <c r="H29" s="623"/>
      <c r="I29" s="623"/>
      <c r="J29" s="623"/>
      <c r="K29" s="623"/>
      <c r="L29" s="623"/>
      <c r="M29" s="623"/>
      <c r="N29" s="25"/>
      <c r="O29" s="25"/>
      <c r="P29" s="25"/>
      <c r="Q29" s="25"/>
      <c r="R29" s="25"/>
      <c r="S29" s="25"/>
      <c r="T29" s="25"/>
    </row>
    <row r="30" spans="1:20" ht="15.75" customHeight="1" x14ac:dyDescent="0.25">
      <c r="A30" s="25"/>
      <c r="B30" s="623"/>
      <c r="C30" s="623"/>
      <c r="D30" s="623"/>
      <c r="E30" s="623"/>
      <c r="F30" s="623"/>
      <c r="G30" s="623"/>
      <c r="H30" s="623"/>
      <c r="I30" s="623"/>
      <c r="J30" s="623"/>
      <c r="K30" s="623"/>
      <c r="L30" s="623"/>
      <c r="M30" s="623"/>
      <c r="N30" s="25"/>
      <c r="O30" s="25"/>
      <c r="P30" s="25"/>
      <c r="Q30" s="25"/>
      <c r="R30" s="25"/>
      <c r="S30" s="25"/>
      <c r="T30" s="25"/>
    </row>
    <row r="31" spans="1:20" ht="15.75" customHeight="1" x14ac:dyDescent="0.25">
      <c r="A31" s="25"/>
      <c r="B31" s="623"/>
      <c r="C31" s="623"/>
      <c r="D31" s="623"/>
      <c r="E31" s="623"/>
      <c r="F31" s="623"/>
      <c r="G31" s="623"/>
      <c r="H31" s="623"/>
      <c r="I31" s="623"/>
      <c r="J31" s="623"/>
      <c r="K31" s="623"/>
      <c r="L31" s="623"/>
      <c r="M31" s="623"/>
      <c r="N31" s="25"/>
      <c r="O31" s="25"/>
      <c r="P31" s="25"/>
      <c r="Q31" s="25"/>
      <c r="R31" s="25"/>
      <c r="S31" s="25"/>
      <c r="T31" s="25"/>
    </row>
    <row r="32" spans="1:20" ht="15.75" customHeight="1" x14ac:dyDescent="0.25">
      <c r="A32" s="25"/>
      <c r="B32" s="623"/>
      <c r="C32" s="623"/>
      <c r="D32" s="623"/>
      <c r="E32" s="623"/>
      <c r="F32" s="623"/>
      <c r="G32" s="623"/>
      <c r="H32" s="623"/>
      <c r="I32" s="623"/>
      <c r="J32" s="623"/>
      <c r="K32" s="623"/>
      <c r="L32" s="623"/>
      <c r="M32" s="623"/>
      <c r="N32" s="25"/>
      <c r="O32" s="25"/>
      <c r="P32" s="25"/>
      <c r="Q32" s="25"/>
      <c r="R32" s="25"/>
      <c r="S32" s="25"/>
      <c r="T32" s="25"/>
    </row>
    <row r="33" spans="1:20" ht="15.75" customHeight="1" x14ac:dyDescent="0.25">
      <c r="A33" s="25"/>
      <c r="B33" s="623"/>
      <c r="C33" s="623"/>
      <c r="D33" s="623"/>
      <c r="E33" s="623"/>
      <c r="F33" s="623"/>
      <c r="G33" s="623"/>
      <c r="H33" s="623"/>
      <c r="I33" s="623"/>
      <c r="J33" s="623"/>
      <c r="K33" s="623"/>
      <c r="L33" s="623"/>
      <c r="M33" s="623"/>
      <c r="N33" s="25"/>
      <c r="O33" s="25"/>
      <c r="P33" s="25"/>
      <c r="Q33" s="25"/>
      <c r="R33" s="25"/>
      <c r="S33" s="25"/>
      <c r="T33" s="25"/>
    </row>
    <row r="34" spans="1:20" ht="15.75" customHeight="1" x14ac:dyDescent="0.25">
      <c r="A34" s="25"/>
      <c r="B34" s="623"/>
      <c r="C34" s="623"/>
      <c r="D34" s="623"/>
      <c r="E34" s="623"/>
      <c r="F34" s="623"/>
      <c r="G34" s="623"/>
      <c r="H34" s="623"/>
      <c r="I34" s="623"/>
      <c r="J34" s="623"/>
      <c r="K34" s="623"/>
      <c r="L34" s="623"/>
      <c r="M34" s="623"/>
      <c r="N34" s="25"/>
      <c r="O34" s="25"/>
      <c r="P34" s="25"/>
      <c r="Q34" s="25"/>
      <c r="R34" s="25"/>
      <c r="S34" s="25"/>
      <c r="T34" s="25"/>
    </row>
    <row r="35" spans="1:20" ht="15.75" customHeight="1" x14ac:dyDescent="0.25">
      <c r="A35" s="25"/>
      <c r="B35" s="623"/>
      <c r="C35" s="623"/>
      <c r="D35" s="623"/>
      <c r="E35" s="623"/>
      <c r="F35" s="623"/>
      <c r="G35" s="623"/>
      <c r="H35" s="623"/>
      <c r="I35" s="623"/>
      <c r="J35" s="623"/>
      <c r="K35" s="623"/>
      <c r="L35" s="623"/>
      <c r="M35" s="623"/>
      <c r="N35" s="25"/>
      <c r="O35" s="25"/>
      <c r="P35" s="25"/>
      <c r="Q35" s="25"/>
      <c r="R35" s="25"/>
      <c r="S35" s="25"/>
      <c r="T35" s="25"/>
    </row>
    <row r="36" spans="1:20" ht="15.75" customHeight="1" x14ac:dyDescent="0.25">
      <c r="A36" s="25"/>
      <c r="B36" s="623"/>
      <c r="C36" s="623"/>
      <c r="D36" s="623"/>
      <c r="E36" s="623"/>
      <c r="F36" s="623"/>
      <c r="G36" s="623"/>
      <c r="H36" s="623"/>
      <c r="I36" s="623"/>
      <c r="J36" s="623"/>
      <c r="K36" s="623"/>
      <c r="L36" s="623"/>
      <c r="M36" s="623"/>
      <c r="N36" s="25"/>
      <c r="O36" s="25"/>
      <c r="P36" s="25"/>
      <c r="Q36" s="25"/>
      <c r="R36" s="25"/>
      <c r="S36" s="25"/>
      <c r="T36" s="25"/>
    </row>
    <row r="37" spans="1:20" ht="15.75" customHeight="1" x14ac:dyDescent="0.25">
      <c r="A37" s="25"/>
      <c r="B37" s="623"/>
      <c r="C37" s="623"/>
      <c r="D37" s="623"/>
      <c r="E37" s="623"/>
      <c r="F37" s="623"/>
      <c r="G37" s="623"/>
      <c r="H37" s="623"/>
      <c r="I37" s="623"/>
      <c r="J37" s="623"/>
      <c r="K37" s="623"/>
      <c r="L37" s="623"/>
      <c r="M37" s="623"/>
      <c r="N37" s="25"/>
      <c r="O37" s="25"/>
      <c r="P37" s="25"/>
      <c r="Q37" s="25"/>
      <c r="R37" s="25"/>
      <c r="S37" s="25"/>
      <c r="T37" s="25"/>
    </row>
    <row r="38" spans="1:20" ht="15.75" customHeight="1" x14ac:dyDescent="0.25">
      <c r="A38" s="25"/>
      <c r="B38" s="623"/>
      <c r="C38" s="623"/>
      <c r="D38" s="623"/>
      <c r="E38" s="623"/>
      <c r="F38" s="623"/>
      <c r="G38" s="623"/>
      <c r="H38" s="623"/>
      <c r="I38" s="623"/>
      <c r="J38" s="623"/>
      <c r="K38" s="623"/>
      <c r="L38" s="623"/>
      <c r="M38" s="623"/>
      <c r="N38" s="25"/>
      <c r="O38" s="25"/>
      <c r="P38" s="25"/>
      <c r="Q38" s="25"/>
      <c r="R38" s="25"/>
      <c r="S38" s="25"/>
      <c r="T38" s="25"/>
    </row>
    <row r="39" spans="1:20" ht="15.75" customHeight="1" x14ac:dyDescent="0.25">
      <c r="A39" s="25"/>
      <c r="B39" s="623"/>
      <c r="C39" s="623"/>
      <c r="D39" s="623"/>
      <c r="E39" s="623"/>
      <c r="F39" s="623"/>
      <c r="G39" s="623"/>
      <c r="H39" s="623"/>
      <c r="I39" s="623"/>
      <c r="J39" s="623"/>
      <c r="K39" s="623"/>
      <c r="L39" s="623"/>
      <c r="M39" s="623"/>
      <c r="N39" s="25"/>
      <c r="O39" s="25"/>
      <c r="P39" s="25"/>
      <c r="Q39" s="25"/>
      <c r="R39" s="25"/>
      <c r="S39" s="25"/>
      <c r="T39" s="25"/>
    </row>
    <row r="40" spans="1:20" ht="15.75" customHeight="1" x14ac:dyDescent="0.25">
      <c r="A40" s="25"/>
      <c r="B40" s="623"/>
      <c r="C40" s="623"/>
      <c r="D40" s="623"/>
      <c r="E40" s="623"/>
      <c r="F40" s="623"/>
      <c r="G40" s="623"/>
      <c r="H40" s="623"/>
      <c r="I40" s="623"/>
      <c r="J40" s="623"/>
      <c r="K40" s="623"/>
      <c r="L40" s="623"/>
      <c r="M40" s="623"/>
      <c r="N40" s="25"/>
      <c r="O40" s="25"/>
      <c r="P40" s="25"/>
      <c r="Q40" s="25"/>
      <c r="R40" s="25"/>
      <c r="S40" s="25"/>
      <c r="T40" s="25"/>
    </row>
    <row r="41" spans="1:20" ht="15.75" customHeight="1" x14ac:dyDescent="0.25">
      <c r="A41" s="25"/>
      <c r="B41" s="623"/>
      <c r="C41" s="623"/>
      <c r="D41" s="623"/>
      <c r="E41" s="623"/>
      <c r="F41" s="623"/>
      <c r="G41" s="623"/>
      <c r="H41" s="623"/>
      <c r="I41" s="623"/>
      <c r="J41" s="623"/>
      <c r="K41" s="623"/>
      <c r="L41" s="623"/>
      <c r="M41" s="623"/>
      <c r="N41" s="25"/>
      <c r="O41" s="25"/>
      <c r="P41" s="25"/>
      <c r="Q41" s="25"/>
      <c r="R41" s="25"/>
      <c r="S41" s="25"/>
      <c r="T41" s="25"/>
    </row>
    <row r="42" spans="1:20" ht="15.75" customHeight="1" x14ac:dyDescent="0.25">
      <c r="A42" s="25"/>
      <c r="B42" s="623"/>
      <c r="C42" s="623"/>
      <c r="D42" s="623"/>
      <c r="E42" s="623"/>
      <c r="F42" s="623"/>
      <c r="G42" s="623"/>
      <c r="H42" s="623"/>
      <c r="I42" s="623"/>
      <c r="J42" s="623"/>
      <c r="K42" s="623"/>
      <c r="L42" s="623"/>
      <c r="M42" s="623"/>
      <c r="N42" s="25"/>
      <c r="O42" s="25"/>
      <c r="P42" s="25"/>
      <c r="Q42" s="25"/>
      <c r="R42" s="25"/>
      <c r="S42" s="25"/>
      <c r="T42" s="25"/>
    </row>
    <row r="43" spans="1:20" ht="15.75" customHeight="1" x14ac:dyDescent="0.25">
      <c r="A43" s="25"/>
      <c r="B43" s="623"/>
      <c r="C43" s="623"/>
      <c r="D43" s="623"/>
      <c r="E43" s="623"/>
      <c r="F43" s="623"/>
      <c r="G43" s="623"/>
      <c r="H43" s="623"/>
      <c r="I43" s="623"/>
      <c r="J43" s="623"/>
      <c r="K43" s="623"/>
      <c r="L43" s="623"/>
      <c r="M43" s="623"/>
      <c r="N43" s="25"/>
      <c r="O43" s="25"/>
      <c r="P43" s="25"/>
      <c r="Q43" s="25"/>
      <c r="R43" s="25"/>
      <c r="S43" s="25"/>
      <c r="T43" s="25"/>
    </row>
    <row r="44" spans="1:20" ht="15.75" customHeight="1" x14ac:dyDescent="0.25">
      <c r="A44" s="25"/>
      <c r="B44" s="623"/>
      <c r="C44" s="623"/>
      <c r="D44" s="623"/>
      <c r="E44" s="623"/>
      <c r="F44" s="623"/>
      <c r="G44" s="623"/>
      <c r="H44" s="623"/>
      <c r="I44" s="623"/>
      <c r="J44" s="623"/>
      <c r="K44" s="623"/>
      <c r="L44" s="623"/>
      <c r="M44" s="623"/>
      <c r="N44" s="25"/>
      <c r="O44" s="25"/>
      <c r="P44" s="25"/>
      <c r="Q44" s="25"/>
      <c r="R44" s="25"/>
      <c r="S44" s="25"/>
      <c r="T44" s="25"/>
    </row>
    <row r="45" spans="1:20" ht="15.75" customHeight="1" x14ac:dyDescent="0.25">
      <c r="A45" s="25"/>
      <c r="B45" s="623"/>
      <c r="C45" s="623"/>
      <c r="D45" s="623"/>
      <c r="E45" s="623"/>
      <c r="F45" s="623"/>
      <c r="G45" s="623"/>
      <c r="H45" s="623"/>
      <c r="I45" s="623"/>
      <c r="J45" s="623"/>
      <c r="K45" s="623"/>
      <c r="L45" s="623"/>
      <c r="M45" s="623"/>
      <c r="N45" s="25"/>
      <c r="O45" s="25"/>
      <c r="P45" s="25"/>
      <c r="Q45" s="25"/>
      <c r="R45" s="25"/>
      <c r="S45" s="25"/>
      <c r="T45" s="25"/>
    </row>
    <row r="46" spans="1:20" ht="15.75" customHeight="1" x14ac:dyDescent="0.25">
      <c r="A46" s="25"/>
      <c r="B46" s="623"/>
      <c r="C46" s="623"/>
      <c r="D46" s="623"/>
      <c r="E46" s="623"/>
      <c r="F46" s="623"/>
      <c r="G46" s="623"/>
      <c r="H46" s="623"/>
      <c r="I46" s="623"/>
      <c r="J46" s="623"/>
      <c r="K46" s="623"/>
      <c r="L46" s="623"/>
      <c r="M46" s="623"/>
      <c r="N46" s="25"/>
      <c r="O46" s="25"/>
      <c r="P46" s="25"/>
      <c r="Q46" s="25"/>
      <c r="R46" s="25"/>
      <c r="S46" s="25"/>
      <c r="T46" s="25"/>
    </row>
    <row r="47" spans="1:20" ht="15.75" customHeight="1" x14ac:dyDescent="0.25">
      <c r="A47" s="25"/>
      <c r="B47" s="623"/>
      <c r="C47" s="623"/>
      <c r="D47" s="623"/>
      <c r="E47" s="623"/>
      <c r="F47" s="623"/>
      <c r="G47" s="623"/>
      <c r="H47" s="623"/>
      <c r="I47" s="623"/>
      <c r="J47" s="623"/>
      <c r="K47" s="623"/>
      <c r="L47" s="623"/>
      <c r="M47" s="623"/>
      <c r="N47" s="25"/>
      <c r="O47" s="25"/>
      <c r="P47" s="25"/>
      <c r="Q47" s="25"/>
      <c r="R47" s="25"/>
      <c r="S47" s="25"/>
      <c r="T47" s="25"/>
    </row>
  </sheetData>
  <mergeCells count="4">
    <mergeCell ref="B1:M1"/>
    <mergeCell ref="B28:M47"/>
    <mergeCell ref="B27:E27"/>
    <mergeCell ref="O8:T19"/>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
  <sheetViews>
    <sheetView workbookViewId="0">
      <pane xSplit="1" topLeftCell="B1" activePane="topRight" state="frozen"/>
      <selection pane="topRight" activeCell="C2" sqref="C2"/>
    </sheetView>
  </sheetViews>
  <sheetFormatPr defaultColWidth="17.25" defaultRowHeight="15" customHeight="1" x14ac:dyDescent="0.2"/>
  <cols>
    <col min="1" max="1" width="28" customWidth="1"/>
    <col min="2" max="20" width="10.75" customWidth="1"/>
  </cols>
  <sheetData>
    <row r="1" spans="1:20" ht="18" customHeight="1" x14ac:dyDescent="0.25">
      <c r="A1" s="60"/>
      <c r="B1" s="627" t="s">
        <v>54</v>
      </c>
      <c r="C1" s="623"/>
      <c r="D1" s="623"/>
      <c r="E1" s="623"/>
      <c r="F1" s="623"/>
      <c r="G1" s="623"/>
      <c r="H1" s="623"/>
      <c r="I1" s="623"/>
      <c r="J1" s="623"/>
      <c r="K1" s="623"/>
      <c r="L1" s="623"/>
      <c r="M1" s="623"/>
      <c r="N1" s="7"/>
      <c r="O1" s="7"/>
      <c r="P1" s="7"/>
      <c r="Q1" s="7"/>
      <c r="R1" s="7"/>
      <c r="S1" s="7"/>
      <c r="T1" s="7"/>
    </row>
    <row r="2" spans="1:20" ht="15.75" customHeight="1" x14ac:dyDescent="0.25">
      <c r="A2" s="12"/>
      <c r="B2" s="12">
        <v>1985</v>
      </c>
      <c r="C2" s="12">
        <v>1988</v>
      </c>
      <c r="D2" s="12">
        <v>1992</v>
      </c>
      <c r="E2" s="12">
        <v>1996</v>
      </c>
      <c r="F2" s="12">
        <v>2000</v>
      </c>
      <c r="G2" s="12">
        <v>2004</v>
      </c>
      <c r="H2" s="12">
        <v>2008</v>
      </c>
      <c r="I2" s="12">
        <v>2010</v>
      </c>
      <c r="J2" s="12">
        <v>2011</v>
      </c>
      <c r="K2" s="12">
        <v>2012</v>
      </c>
      <c r="L2" s="12">
        <v>2013</v>
      </c>
      <c r="M2" s="12">
        <v>2014</v>
      </c>
      <c r="N2" s="12"/>
      <c r="O2" s="12"/>
      <c r="P2" s="12"/>
      <c r="Q2" s="12"/>
      <c r="R2" s="12"/>
      <c r="S2" s="12"/>
      <c r="T2" s="12"/>
    </row>
    <row r="3" spans="1:20" ht="15.75" customHeight="1" x14ac:dyDescent="0.25">
      <c r="A3" s="61" t="s">
        <v>50</v>
      </c>
      <c r="B3" s="70">
        <f>('Wireless (RV)'!B3)/('Wireless (RV)'!B21)*100</f>
        <v>34.174454828660437</v>
      </c>
      <c r="C3" s="70">
        <f>('Wireless (RV)'!C3)/('Wireless (RV)'!C21)*100</f>
        <v>25.866949752300066</v>
      </c>
      <c r="D3" s="70">
        <f>('Wireless (RV)'!D3)/('Wireless (RV)'!D21)*100</f>
        <v>25.725026852846401</v>
      </c>
      <c r="E3" s="70">
        <f>('Wireless (RV)'!E3)/('Wireless (RV)'!E21)*100</f>
        <v>50.666666666666671</v>
      </c>
      <c r="F3" s="70">
        <f>('Wireless (RV)'!F3)/('Wireless (RV)'!F21)*100</f>
        <v>30.353703703703701</v>
      </c>
      <c r="G3" s="70">
        <f>('Wireless (RV)'!G3)/('Wireless (RV)'!G21)*100</f>
        <v>30.255434782608699</v>
      </c>
      <c r="H3" s="70">
        <f>('Wireless (RV)'!H3)/('Wireless (RV)'!H21)*100</f>
        <v>39.104938271604937</v>
      </c>
      <c r="I3" s="70">
        <f>('Wireless (RV)'!I3)/('Wireless (RV)'!I21)*100</f>
        <v>38.711111111111116</v>
      </c>
      <c r="J3" s="70">
        <f>('Wireless (RV)'!J3)/('Wireless (RV)'!J21)*100</f>
        <v>36.984455958549219</v>
      </c>
      <c r="K3" s="70">
        <f>('Wireless (RV)'!K3)/('Wireless (RV)'!K21)*100</f>
        <v>35.832767293740098</v>
      </c>
      <c r="L3" s="70">
        <f>('Wireless (RV)'!L3)/('Wireless (RV)'!L21)*100</f>
        <v>34.29245283018868</v>
      </c>
      <c r="M3" s="70">
        <f>('Wireless (RV)'!M3)/('Wireless (RV)'!M21)*100</f>
        <v>33.204545454545453</v>
      </c>
      <c r="N3" s="23"/>
      <c r="O3" s="23"/>
      <c r="P3" s="23"/>
      <c r="Q3" s="23"/>
      <c r="R3" s="23"/>
      <c r="S3" s="23"/>
      <c r="T3" s="23"/>
    </row>
    <row r="4" spans="1:20" ht="15.75" customHeight="1" x14ac:dyDescent="0.25">
      <c r="A4" s="61" t="s">
        <v>76</v>
      </c>
      <c r="B4" s="65"/>
      <c r="C4" s="65"/>
      <c r="D4" s="65"/>
      <c r="E4" s="70">
        <f>('Wireless (RV)'!E4)/('Wireless (RV)'!E21)*100</f>
        <v>4.5977011494252873E-2</v>
      </c>
      <c r="F4" s="70">
        <f>('Wireless (RV)'!F4)/('Wireless (RV)'!F21)*100</f>
        <v>7.9722222222222223</v>
      </c>
      <c r="G4" s="22" t="s">
        <v>17</v>
      </c>
      <c r="H4" s="22" t="s">
        <v>17</v>
      </c>
      <c r="I4" s="22"/>
      <c r="J4" s="22"/>
      <c r="K4" s="6"/>
      <c r="L4" s="23"/>
      <c r="M4" s="23"/>
      <c r="N4" s="23"/>
      <c r="O4" s="626" t="s">
        <v>8</v>
      </c>
      <c r="P4" s="623"/>
      <c r="Q4" s="623"/>
      <c r="R4" s="623"/>
      <c r="S4" s="623"/>
      <c r="T4" s="623"/>
    </row>
    <row r="5" spans="1:20" ht="15.75" customHeight="1" x14ac:dyDescent="0.25">
      <c r="A5" s="61" t="s">
        <v>58</v>
      </c>
      <c r="B5" s="65"/>
      <c r="C5" s="65"/>
      <c r="D5" s="65"/>
      <c r="E5" s="23"/>
      <c r="F5" s="70">
        <f>('Wireless (RV)'!F5)/('Wireless (RV)'!F21)*100</f>
        <v>29.948148148148153</v>
      </c>
      <c r="G5" s="70">
        <f>('Wireless (RV)'!G5)/('Wireless (RV)'!G21)*100</f>
        <v>30.793478260869566</v>
      </c>
      <c r="H5" s="70">
        <f>('Wireless (RV)'!H5)/('Wireless (RV)'!H21)*100</f>
        <v>28.76543209876543</v>
      </c>
      <c r="I5" s="70">
        <f>('Wireless (RV)'!I5)/('Wireless (RV)'!I21)*100</f>
        <v>28.027777777777779</v>
      </c>
      <c r="J5" s="70">
        <f>('Wireless (RV)'!J5)/('Wireless (RV)'!J21)*100</f>
        <v>28.497409326424872</v>
      </c>
      <c r="K5" s="70">
        <f>('Wireless (RV)'!K5)/('Wireless (RV)'!K21)*100</f>
        <v>28.971383006999208</v>
      </c>
      <c r="L5" s="70">
        <f>('Wireless (RV)'!L5)/('Wireless (RV)'!L21)*100</f>
        <v>29.136792452830189</v>
      </c>
      <c r="M5" s="70">
        <f>('Wireless (RV)'!M5)/('Wireless (RV)'!M21)*100</f>
        <v>30.186363636363637</v>
      </c>
      <c r="N5" s="23"/>
      <c r="O5" s="623"/>
      <c r="P5" s="623"/>
      <c r="Q5" s="623"/>
      <c r="R5" s="623"/>
      <c r="S5" s="623"/>
      <c r="T5" s="623"/>
    </row>
    <row r="6" spans="1:20" ht="15.75" customHeight="1" x14ac:dyDescent="0.25">
      <c r="A6" s="61" t="s">
        <v>60</v>
      </c>
      <c r="B6" s="22"/>
      <c r="C6" s="22"/>
      <c r="D6" s="22"/>
      <c r="E6" s="70">
        <f>('Wireless (RV)'!E6)/('Wireless (RV)'!E21)*100</f>
        <v>0.72183908045977008</v>
      </c>
      <c r="F6" s="22" t="s">
        <v>13</v>
      </c>
      <c r="G6" s="22"/>
      <c r="H6" s="22"/>
      <c r="I6" s="22"/>
      <c r="J6" s="22"/>
      <c r="K6" s="6"/>
      <c r="L6" s="23"/>
      <c r="M6" s="23"/>
      <c r="N6" s="23"/>
      <c r="O6" s="623"/>
      <c r="P6" s="623"/>
      <c r="Q6" s="623"/>
      <c r="R6" s="623"/>
      <c r="S6" s="623"/>
      <c r="T6" s="623"/>
    </row>
    <row r="7" spans="1:20" ht="15.75" customHeight="1" x14ac:dyDescent="0.25">
      <c r="A7" s="61" t="s">
        <v>62</v>
      </c>
      <c r="B7" s="70">
        <f>('Wireless (RV)'!B7)/('Wireless (RV)'!B21)*100</f>
        <v>65.82554517133957</v>
      </c>
      <c r="C7" s="70">
        <f>('Wireless (RV)'!C7)/('Wireless (RV)'!C21)*100</f>
        <v>74.133050247699927</v>
      </c>
      <c r="D7" s="70">
        <f>('Wireless (RV)'!D7)/('Wireless (RV)'!D21)*100</f>
        <v>85.477980665950582</v>
      </c>
      <c r="E7" s="70">
        <f>('Wireless (RV)'!E7)/('Wireless (RV)'!E21)*100</f>
        <v>49.268965517241377</v>
      </c>
      <c r="F7" s="70">
        <f>('Wireless (RV)'!F7)/('Wireless (RV)'!F21)*100</f>
        <v>27.375925925925927</v>
      </c>
      <c r="G7" s="70">
        <f>('Wireless (RV)'!G7)/('Wireless (RV)'!G21)*100</f>
        <v>34.830434782608698</v>
      </c>
      <c r="H7" s="70">
        <f>('Wireless (RV)'!H7)/('Wireless (RV)'!H21)*100</f>
        <v>28.10493827160494</v>
      </c>
      <c r="I7" s="70">
        <f>('Wireless (RV)'!I7)/('Wireless (RV)'!I21)*100</f>
        <v>27.705555555555556</v>
      </c>
      <c r="J7" s="70">
        <f>('Wireless (RV)'!J7)/('Wireless (RV)'!J21)*100</f>
        <v>27.559585492227978</v>
      </c>
      <c r="K7" s="70">
        <f>('Wireless (RV)'!K7)/('Wireless (RV)'!K21)*100</f>
        <v>27.957433822588428</v>
      </c>
      <c r="L7" s="70">
        <f>('Wireless (RV)'!L7)/('Wireless (RV)'!L21)*100</f>
        <v>28.047169811320753</v>
      </c>
      <c r="M7" s="70">
        <f>('Wireless (RV)'!M7)/('Wireless (RV)'!M21)*100</f>
        <v>28.81818181818182</v>
      </c>
      <c r="N7" s="23"/>
      <c r="O7" s="623"/>
      <c r="P7" s="623"/>
      <c r="Q7" s="623"/>
      <c r="R7" s="623"/>
      <c r="S7" s="623"/>
      <c r="T7" s="623"/>
    </row>
    <row r="8" spans="1:20" ht="15.75" customHeight="1" x14ac:dyDescent="0.25">
      <c r="A8" s="85" t="s">
        <v>66</v>
      </c>
      <c r="B8" s="87"/>
      <c r="C8" s="87"/>
      <c r="D8" s="87"/>
      <c r="E8" s="87"/>
      <c r="F8" s="92">
        <f>('Wireless (RV)'!F8)/('Wireless (RV)'!F21)*100</f>
        <v>23.37037037037037</v>
      </c>
      <c r="G8" s="92">
        <f>('Wireless (RV)'!G8)/('Wireless (RV)'!G21)*100</f>
        <v>30.630434782608695</v>
      </c>
      <c r="H8" s="92">
        <f>('Wireless (RV)'!H8)/('Wireless (RV)'!H21)*100</f>
        <v>27.660493827160494</v>
      </c>
      <c r="I8" s="92">
        <f>('Wireless (RV)'!I8)/('Wireless (RV)'!I21)*100</f>
        <v>27.255555555555556</v>
      </c>
      <c r="J8" s="92">
        <f>('Wireless (RV)'!J8)/('Wireless (RV)'!J21)*100</f>
        <v>27.103626943005182</v>
      </c>
      <c r="K8" s="92">
        <f>('Wireless (RV)'!K8)/('Wireless (RV)'!K21)*100</f>
        <v>27.494757981158269</v>
      </c>
      <c r="L8" s="92">
        <f>('Wireless (RV)'!L8)/('Wireless (RV)'!L21)*100</f>
        <v>27.589622641509433</v>
      </c>
      <c r="M8" s="92">
        <f>('Wireless (RV)'!M8)/('Wireless (RV)'!M21)*100</f>
        <v>28.368181818181821</v>
      </c>
      <c r="N8" s="73"/>
      <c r="O8" s="623"/>
      <c r="P8" s="623"/>
      <c r="Q8" s="623"/>
      <c r="R8" s="623"/>
      <c r="S8" s="623"/>
      <c r="T8" s="623"/>
    </row>
    <row r="9" spans="1:20" ht="15.75" customHeight="1" x14ac:dyDescent="0.25">
      <c r="A9" s="85" t="s">
        <v>68</v>
      </c>
      <c r="B9" s="87"/>
      <c r="C9" s="87"/>
      <c r="D9" s="87"/>
      <c r="E9" s="87"/>
      <c r="F9" s="92">
        <f>('Wireless (RV)'!F9)/('Wireless (RV)'!F21)*100</f>
        <v>4.0055555555555555</v>
      </c>
      <c r="G9" s="92">
        <f>('Wireless (RV)'!G9)/('Wireless (RV)'!G21)*100</f>
        <v>4.1999999999999993</v>
      </c>
      <c r="H9" s="92">
        <f>('Wireless (RV)'!H9)/('Wireless (RV)'!H21)*100</f>
        <v>0.44444444444444442</v>
      </c>
      <c r="I9" s="92">
        <f>('Wireless (RV)'!I9)/('Wireless (RV)'!I21)*100</f>
        <v>0.44999999999999996</v>
      </c>
      <c r="J9" s="92">
        <f>('Wireless (RV)'!J9)/('Wireless (RV)'!J21)*100</f>
        <v>0.45595854922279794</v>
      </c>
      <c r="K9" s="92">
        <f>('Wireless (RV)'!K9)/('Wireless (RV)'!K21)*100</f>
        <v>0.46267584143016061</v>
      </c>
      <c r="L9" s="92">
        <f>('Wireless (RV)'!L9)/('Wireless (RV)'!L21)*100</f>
        <v>0.45754716981132071</v>
      </c>
      <c r="M9" s="92">
        <f>('Wireless (RV)'!M9)/('Wireless (RV)'!M21)*100</f>
        <v>0.44999999999999996</v>
      </c>
      <c r="N9" s="73"/>
      <c r="O9" s="623"/>
      <c r="P9" s="623"/>
      <c r="Q9" s="623"/>
      <c r="R9" s="623"/>
      <c r="S9" s="623"/>
      <c r="T9" s="623"/>
    </row>
    <row r="10" spans="1:20" ht="15.75" customHeight="1" x14ac:dyDescent="0.25">
      <c r="A10" s="61" t="s">
        <v>19</v>
      </c>
      <c r="B10" s="65"/>
      <c r="C10" s="65"/>
      <c r="D10" s="65"/>
      <c r="E10" s="22"/>
      <c r="F10" s="70">
        <f>('Wireless (RV)'!F10)/('Wireless (RV)'!F21)*100</f>
        <v>2.4629629629629628</v>
      </c>
      <c r="G10" s="70">
        <f>('Wireless (RV)'!G10)/('Wireless (RV)'!G21)*100</f>
        <v>2.1065217391304349</v>
      </c>
      <c r="H10" s="70">
        <f>('Wireless (RV)'!H10)/('Wireless (RV)'!H21)*100</f>
        <v>2.3197530864197531</v>
      </c>
      <c r="I10" s="70">
        <f>('Wireless (RV)'!I10)/('Wireless (RV)'!I21)*100</f>
        <v>2.2694444444444444</v>
      </c>
      <c r="J10" s="70">
        <f>('Wireless (RV)'!J10)/('Wireless (RV)'!J21)*100</f>
        <v>2.1471502590673572</v>
      </c>
      <c r="K10" s="70">
        <f>('Wireless (RV)'!K10)/('Wireless (RV)'!K21)*100</f>
        <v>2.2356102891231804</v>
      </c>
      <c r="L10" s="70">
        <f>('Wireless (RV)'!L10)/('Wireless (RV)'!L21)*100</f>
        <v>2.2254716981132074</v>
      </c>
      <c r="M10" s="70">
        <f>('Wireless (RV)'!M10)/('Wireless (RV)'!M21)*100</f>
        <v>2.1931818181818179</v>
      </c>
      <c r="N10" s="23"/>
      <c r="O10" s="623"/>
      <c r="P10" s="623"/>
      <c r="Q10" s="623"/>
      <c r="R10" s="623"/>
      <c r="S10" s="623"/>
      <c r="T10" s="623"/>
    </row>
    <row r="11" spans="1:20" ht="15.75" customHeight="1" x14ac:dyDescent="0.25">
      <c r="A11" s="61" t="s">
        <v>15</v>
      </c>
      <c r="B11" s="65"/>
      <c r="C11" s="65"/>
      <c r="D11" s="65"/>
      <c r="E11" s="22"/>
      <c r="F11" s="70">
        <f>('Wireless (RV)'!F11)/('Wireless (RV)'!F21)*100</f>
        <v>2.001851851851852</v>
      </c>
      <c r="G11" s="70">
        <f>('Wireless (RV)'!G11)/('Wireless (RV)'!G21)*100</f>
        <v>1.9771739130434784</v>
      </c>
      <c r="H11" s="70">
        <f>('Wireless (RV)'!H11)/('Wireless (RV)'!H21)*100</f>
        <v>1.8000000000000003</v>
      </c>
      <c r="I11" s="70">
        <f>('Wireless (RV)'!I11)/('Wireless (RV)'!I21)*100</f>
        <v>1.8233333333333335</v>
      </c>
      <c r="J11" s="70">
        <f>('Wireless (RV)'!J11)/('Wireless (RV)'!J21)*100</f>
        <v>1.8461139896373058</v>
      </c>
      <c r="K11" s="70">
        <f>('Wireless (RV)'!K11)/('Wireless (RV)'!K21)*100</f>
        <v>1.7822864061900126</v>
      </c>
      <c r="L11" s="70">
        <f>('Wireless (RV)'!L11)/('Wireless (RV)'!L21)*100</f>
        <v>1.7702830188679246</v>
      </c>
      <c r="M11" s="70">
        <f>('Wireless (RV)'!M11)/('Wireless (RV)'!M21)*100</f>
        <v>1.6622727272727271</v>
      </c>
      <c r="N11" s="23"/>
      <c r="O11" s="623"/>
      <c r="P11" s="623"/>
      <c r="Q11" s="623"/>
      <c r="R11" s="623"/>
      <c r="S11" s="623"/>
      <c r="T11" s="623"/>
    </row>
    <row r="12" spans="1:20" ht="15.75" customHeight="1" x14ac:dyDescent="0.25">
      <c r="A12" s="61" t="s">
        <v>172</v>
      </c>
      <c r="B12" s="65"/>
      <c r="C12" s="65"/>
      <c r="D12" s="65"/>
      <c r="E12" s="22"/>
      <c r="F12" s="22"/>
      <c r="G12" s="22"/>
      <c r="H12" s="70">
        <f>('Wireless (RV)'!H12)/('Wireless (RV)'!H21)*100</f>
        <v>0.25061728395061728</v>
      </c>
      <c r="I12" s="70">
        <f>('Wireless (RV)'!I12)/('Wireless (RV)'!I21)*100</f>
        <v>0.33111111111111108</v>
      </c>
      <c r="J12" s="70">
        <f>('Wireless (RV)'!J12)/('Wireless (RV)'!J21)*100</f>
        <v>0.5839378238341969</v>
      </c>
      <c r="K12" s="70">
        <f>('Wireless (RV)'!K12)/('Wireless (RV)'!K21)*100</f>
        <v>0.84462951478101644</v>
      </c>
      <c r="L12" s="70">
        <f>('Wireless (RV)'!L12)/('Wireless (RV)'!L21)*100</f>
        <v>1.0410377358490566</v>
      </c>
      <c r="M12" s="70">
        <f>('Wireless (RV)'!M12)/('Wireless (RV)'!M21)*100</f>
        <v>1.3077272727272726</v>
      </c>
      <c r="N12" s="23"/>
      <c r="O12" s="623"/>
      <c r="P12" s="623"/>
      <c r="Q12" s="623"/>
      <c r="R12" s="623"/>
      <c r="S12" s="623"/>
      <c r="T12" s="623"/>
    </row>
    <row r="13" spans="1:20" ht="15.75" customHeight="1" x14ac:dyDescent="0.25">
      <c r="A13" s="61" t="s">
        <v>195</v>
      </c>
      <c r="B13" s="65"/>
      <c r="C13" s="65"/>
      <c r="D13" s="65"/>
      <c r="E13" s="22"/>
      <c r="F13" s="22"/>
      <c r="G13" s="22"/>
      <c r="H13" s="22"/>
      <c r="I13" s="70">
        <f>('Wireless (RV)'!I13)/('Wireless (RV)'!I21)*100</f>
        <v>0.16444444444444445</v>
      </c>
      <c r="J13" s="70">
        <f>('Wireless (RV)'!J13)/('Wireless (RV)'!J21)*100</f>
        <v>0.527461139896373</v>
      </c>
      <c r="K13" s="70">
        <f>('Wireless (RV)'!K13)/('Wireless (RV)'!K21)*100</f>
        <v>0.76735280509534087</v>
      </c>
      <c r="L13" s="70">
        <f>('Wireless (RV)'!L13)/('Wireless (RV)'!L21)*100</f>
        <v>1.0150943396226415</v>
      </c>
      <c r="M13" s="70">
        <f>('Wireless (RV)'!M13)/('Wireless (RV)'!M21)*100</f>
        <v>1.271818181818182</v>
      </c>
      <c r="N13" s="23"/>
      <c r="O13" s="623"/>
      <c r="P13" s="623"/>
      <c r="Q13" s="623"/>
      <c r="R13" s="623"/>
      <c r="S13" s="623"/>
      <c r="T13" s="623"/>
    </row>
    <row r="14" spans="1:20" ht="15.75" customHeight="1" x14ac:dyDescent="0.25">
      <c r="A14" s="61" t="s">
        <v>202</v>
      </c>
      <c r="B14" s="65"/>
      <c r="C14" s="65"/>
      <c r="D14" s="65"/>
      <c r="E14" s="22"/>
      <c r="F14" s="22"/>
      <c r="G14" s="22"/>
      <c r="H14" s="22"/>
      <c r="I14" s="70">
        <f>('Wireless (RV)'!I14)/('Wireless (RV)'!I21)*100</f>
        <v>5.5068384000000005E-2</v>
      </c>
      <c r="J14" s="70">
        <f>('Wireless (RV)'!J14)/('Wireless (RV)'!J21)*100</f>
        <v>0.20769268974093263</v>
      </c>
      <c r="K14" s="70">
        <f>('Wireless (RV)'!K14)/('Wireless (RV)'!K21)*100</f>
        <v>0.37277398777354481</v>
      </c>
      <c r="L14" s="70">
        <f>('Wireless (RV)'!L14)/('Wireless (RV)'!L21)*100</f>
        <v>0.40471698113207544</v>
      </c>
      <c r="M14" s="70">
        <f>('Wireless (RV)'!M14)/('Wireless (RV)'!M21)*100</f>
        <v>0.31136363636363634</v>
      </c>
      <c r="N14" s="23"/>
      <c r="O14" s="623"/>
      <c r="P14" s="623"/>
      <c r="Q14" s="623"/>
      <c r="R14" s="623"/>
      <c r="S14" s="623"/>
      <c r="T14" s="623"/>
    </row>
    <row r="15" spans="1:20" ht="15.75" customHeight="1" x14ac:dyDescent="0.25">
      <c r="A15" s="61" t="s">
        <v>210</v>
      </c>
      <c r="B15" s="65"/>
      <c r="C15" s="65"/>
      <c r="D15" s="65"/>
      <c r="E15" s="22"/>
      <c r="F15" s="22"/>
      <c r="G15" s="22"/>
      <c r="H15" s="22"/>
      <c r="I15" s="70">
        <f>('Wireless (RV)'!I15)/('Wireless (RV)'!I21)*100</f>
        <v>7.5388833333333335E-2</v>
      </c>
      <c r="J15" s="70">
        <f>('Wireless (RV)'!J15)/('Wireless (RV)'!J21)*100</f>
        <v>0.21721725388601038</v>
      </c>
      <c r="K15" s="70">
        <f>('Wireless (RV)'!K15)/('Wireless (RV)'!K21)*100</f>
        <v>0.35490682496086945</v>
      </c>
      <c r="L15" s="70">
        <f>('Wireless (RV)'!L15)/('Wireless (RV)'!L21)*100</f>
        <v>0.33066037735849052</v>
      </c>
      <c r="M15" s="148">
        <f>('Wireless (RV)'!M15)/('Wireless (RV)'!M21)*100</f>
        <v>0.25045454545454549</v>
      </c>
      <c r="N15" s="148"/>
      <c r="O15" s="623"/>
      <c r="P15" s="623"/>
      <c r="Q15" s="623"/>
      <c r="R15" s="623"/>
      <c r="S15" s="623"/>
      <c r="T15" s="623"/>
    </row>
    <row r="16" spans="1:20" ht="15.75" customHeight="1" x14ac:dyDescent="0.25">
      <c r="A16" s="61" t="s">
        <v>170</v>
      </c>
      <c r="B16" s="65"/>
      <c r="C16" s="65"/>
      <c r="D16" s="65"/>
      <c r="E16" s="22"/>
      <c r="F16" s="22"/>
      <c r="G16" s="22"/>
      <c r="H16" s="22"/>
      <c r="I16" s="22"/>
      <c r="J16" s="22"/>
      <c r="K16" s="6"/>
      <c r="L16" s="23"/>
      <c r="M16" s="23"/>
      <c r="N16" s="23"/>
      <c r="O16" s="23"/>
      <c r="P16" s="23"/>
      <c r="Q16" s="23"/>
      <c r="R16" s="23"/>
      <c r="S16" s="23"/>
      <c r="T16" s="23"/>
    </row>
    <row r="17" spans="1:20" ht="15.75" customHeight="1" x14ac:dyDescent="0.25">
      <c r="A17" s="25"/>
      <c r="B17" s="23"/>
      <c r="C17" s="23"/>
      <c r="D17" s="23"/>
      <c r="E17" s="23"/>
      <c r="F17" s="23"/>
      <c r="G17" s="23"/>
      <c r="H17" s="23"/>
      <c r="I17" s="23"/>
      <c r="J17" s="23"/>
      <c r="K17" s="23"/>
      <c r="L17" s="23"/>
      <c r="M17" s="23"/>
      <c r="N17" s="23"/>
      <c r="O17" s="23"/>
      <c r="P17" s="23"/>
      <c r="Q17" s="23"/>
      <c r="R17" s="23"/>
      <c r="S17" s="23"/>
      <c r="T17" s="23"/>
    </row>
    <row r="18" spans="1:20" ht="15.75" customHeight="1" x14ac:dyDescent="0.25">
      <c r="A18" s="61"/>
      <c r="B18" s="22"/>
      <c r="C18" s="22"/>
      <c r="D18" s="22"/>
      <c r="E18" s="22"/>
      <c r="F18" s="22"/>
      <c r="G18" s="22"/>
      <c r="H18" s="22"/>
      <c r="I18" s="22"/>
      <c r="J18" s="22"/>
      <c r="K18" s="6"/>
      <c r="L18" s="23"/>
      <c r="M18" s="23"/>
      <c r="N18" s="23"/>
      <c r="O18" s="23"/>
      <c r="P18" s="23"/>
      <c r="Q18" s="23"/>
      <c r="R18" s="23"/>
      <c r="S18" s="23"/>
      <c r="T18" s="23"/>
    </row>
    <row r="19" spans="1:20" ht="15.75" customHeight="1" x14ac:dyDescent="0.25">
      <c r="A19" s="61"/>
      <c r="B19" s="22"/>
      <c r="C19" s="22"/>
      <c r="D19" s="22"/>
      <c r="E19" s="22"/>
      <c r="F19" s="22"/>
      <c r="G19" s="22"/>
      <c r="H19" s="22"/>
      <c r="I19" s="22"/>
      <c r="J19" s="22"/>
      <c r="K19" s="6"/>
      <c r="L19" s="23"/>
      <c r="M19" s="23"/>
      <c r="N19" s="23"/>
      <c r="O19" s="23"/>
      <c r="P19" s="23"/>
      <c r="Q19" s="23"/>
      <c r="R19" s="23"/>
      <c r="S19" s="23"/>
      <c r="T19" s="23"/>
    </row>
    <row r="20" spans="1:20" ht="15.75" customHeight="1" x14ac:dyDescent="0.25">
      <c r="A20" s="61" t="s">
        <v>237</v>
      </c>
      <c r="B20" s="22">
        <v>2</v>
      </c>
      <c r="C20" s="22">
        <v>2</v>
      </c>
      <c r="D20" s="22">
        <v>2</v>
      </c>
      <c r="E20" s="22">
        <v>4</v>
      </c>
      <c r="F20" s="22">
        <v>6</v>
      </c>
      <c r="G20" s="22">
        <v>6</v>
      </c>
      <c r="H20" s="22">
        <v>6</v>
      </c>
      <c r="I20" s="152">
        <v>9</v>
      </c>
      <c r="J20" s="152">
        <v>9</v>
      </c>
      <c r="K20" s="27">
        <v>9</v>
      </c>
      <c r="L20" s="26">
        <v>9</v>
      </c>
      <c r="M20" s="26">
        <v>8</v>
      </c>
      <c r="N20" s="26"/>
      <c r="O20" s="26"/>
      <c r="P20" s="26"/>
      <c r="Q20" s="26"/>
      <c r="R20" s="26"/>
      <c r="S20" s="26"/>
      <c r="T20" s="26"/>
    </row>
    <row r="21" spans="1:20" ht="15.75" customHeight="1" x14ac:dyDescent="0.25">
      <c r="A21" s="164" t="s">
        <v>41</v>
      </c>
      <c r="B21" s="167">
        <f>'Wireless (RV)'!B21</f>
        <v>321</v>
      </c>
      <c r="C21" s="167">
        <f>'Wireless (RV)'!C21</f>
        <v>565.20000000000005</v>
      </c>
      <c r="D21" s="167">
        <f>'Wireless (RV)'!D21</f>
        <v>931</v>
      </c>
      <c r="E21" s="167">
        <f>'Wireless (RV)'!E21</f>
        <v>2175</v>
      </c>
      <c r="F21" s="167">
        <f>'Wireless (RV)'!F21</f>
        <v>5400</v>
      </c>
      <c r="G21" s="167">
        <f>'Wireless (RV)'!G21</f>
        <v>9200</v>
      </c>
      <c r="H21" s="167">
        <f>'Wireless (RV)'!H21</f>
        <v>16200</v>
      </c>
      <c r="I21" s="167">
        <f>'Wireless (RV)'!I21</f>
        <v>18000</v>
      </c>
      <c r="J21" s="167">
        <f>'Wireless (RV)'!J21</f>
        <v>19300</v>
      </c>
      <c r="K21" s="167">
        <f>'Wireless (RV)'!K21</f>
        <v>20316.599999999999</v>
      </c>
      <c r="L21" s="167">
        <f>'Wireless (RV)'!L21</f>
        <v>21200</v>
      </c>
      <c r="M21" s="232">
        <f>'Wireless (RV)'!M21</f>
        <v>22000</v>
      </c>
      <c r="N21" s="232"/>
      <c r="O21" s="232"/>
      <c r="P21" s="232"/>
      <c r="Q21" s="232"/>
      <c r="R21" s="232"/>
      <c r="S21" s="232"/>
      <c r="T21" s="232"/>
    </row>
    <row r="22" spans="1:20" ht="15.75" customHeight="1" x14ac:dyDescent="0.2">
      <c r="A22" s="164" t="s">
        <v>42</v>
      </c>
      <c r="B22" s="22">
        <v>100</v>
      </c>
      <c r="C22" s="22">
        <v>100</v>
      </c>
      <c r="D22" s="22">
        <v>100</v>
      </c>
      <c r="E22" s="22">
        <v>100</v>
      </c>
      <c r="F22" s="22">
        <f>SUM(F3+F5+F7+F4)</f>
        <v>95.65</v>
      </c>
      <c r="G22" s="22">
        <f t="shared" ref="G22:M22" si="0">SUM(G3+G5+G7+G10)</f>
        <v>97.985869565217385</v>
      </c>
      <c r="H22" s="22">
        <f t="shared" si="0"/>
        <v>98.295061728395055</v>
      </c>
      <c r="I22" s="22">
        <f t="shared" si="0"/>
        <v>96.713888888888903</v>
      </c>
      <c r="J22" s="22">
        <f t="shared" si="0"/>
        <v>95.188601036269432</v>
      </c>
      <c r="K22" s="22">
        <f t="shared" si="0"/>
        <v>94.997194412450924</v>
      </c>
      <c r="L22" s="22">
        <f t="shared" si="0"/>
        <v>93.701886792452839</v>
      </c>
      <c r="M22" s="22">
        <f t="shared" si="0"/>
        <v>94.402272727272731</v>
      </c>
      <c r="N22" s="22"/>
      <c r="O22" s="22"/>
      <c r="P22" s="22"/>
      <c r="Q22" s="22"/>
      <c r="R22" s="22"/>
      <c r="S22" s="22"/>
      <c r="T22" s="22"/>
    </row>
    <row r="23" spans="1:20" ht="15.75" customHeight="1" x14ac:dyDescent="0.2">
      <c r="A23" s="164" t="s">
        <v>43</v>
      </c>
      <c r="B23" s="237">
        <f t="shared" ref="B23:M23" si="1">SUMSQ(B3:B7,B10:B16)</f>
        <v>5500.8957599402192</v>
      </c>
      <c r="C23" s="237">
        <f t="shared" si="1"/>
        <v>6164.8082285160181</v>
      </c>
      <c r="D23" s="237">
        <f t="shared" si="1"/>
        <v>7968.2621853082901</v>
      </c>
      <c r="E23" s="237">
        <f t="shared" si="1"/>
        <v>4995.0652397938966</v>
      </c>
      <c r="F23" s="237">
        <f t="shared" si="1"/>
        <v>2641.3101508916325</v>
      </c>
      <c r="G23" s="237">
        <f t="shared" si="1"/>
        <v>3085.1354749527413</v>
      </c>
      <c r="H23" s="237">
        <f t="shared" si="1"/>
        <v>3155.2178997104093</v>
      </c>
      <c r="I23" s="237">
        <f t="shared" si="1"/>
        <v>3060.3245743364414</v>
      </c>
      <c r="J23" s="237">
        <f t="shared" si="1"/>
        <v>2948.2109826938072</v>
      </c>
      <c r="K23" s="237">
        <f t="shared" si="1"/>
        <v>2914.6879980535982</v>
      </c>
      <c r="L23" s="237">
        <f t="shared" si="1"/>
        <v>2822.0426644268414</v>
      </c>
      <c r="M23" s="237">
        <f t="shared" si="1"/>
        <v>2855.3065357438013</v>
      </c>
      <c r="N23" s="22"/>
      <c r="O23" s="22"/>
      <c r="P23" s="22"/>
      <c r="Q23" s="22"/>
      <c r="R23" s="22"/>
      <c r="S23" s="22"/>
      <c r="T23" s="22"/>
    </row>
    <row r="24" spans="1:20" ht="15.75" customHeight="1" x14ac:dyDescent="0.25">
      <c r="A24" s="241" t="s">
        <v>420</v>
      </c>
      <c r="B24" s="73"/>
      <c r="C24" s="73"/>
      <c r="D24" s="73"/>
      <c r="E24" s="73"/>
      <c r="F24" s="92">
        <f>SUM(F3+F5+F8+F4)</f>
        <v>91.644444444444446</v>
      </c>
      <c r="G24" s="92">
        <f>SUM(G3+G5+G8+G9)</f>
        <v>95.87934782608697</v>
      </c>
      <c r="H24" s="92">
        <f t="shared" ref="H24:M24" si="2">SUM(H3+H5+H8+H10)</f>
        <v>97.850617283950612</v>
      </c>
      <c r="I24" s="92">
        <f t="shared" si="2"/>
        <v>96.2638888888889</v>
      </c>
      <c r="J24" s="92">
        <f t="shared" si="2"/>
        <v>94.732642487046633</v>
      </c>
      <c r="K24" s="92">
        <f t="shared" si="2"/>
        <v>94.534518571020769</v>
      </c>
      <c r="L24" s="92">
        <f t="shared" si="2"/>
        <v>93.244339622641519</v>
      </c>
      <c r="M24" s="92">
        <f t="shared" si="2"/>
        <v>93.952272727272728</v>
      </c>
      <c r="N24" s="73"/>
      <c r="O24" s="73"/>
      <c r="P24" s="73"/>
      <c r="Q24" s="73"/>
      <c r="R24" s="73"/>
      <c r="S24" s="73"/>
      <c r="T24" s="73"/>
    </row>
    <row r="25" spans="1:20" ht="15.75" customHeight="1" x14ac:dyDescent="0.25">
      <c r="A25" s="241" t="s">
        <v>434</v>
      </c>
      <c r="B25" s="73"/>
      <c r="C25" s="73"/>
      <c r="D25" s="73"/>
      <c r="E25" s="73"/>
      <c r="F25" s="92">
        <f t="shared" ref="F25:M25" si="3">SUMSQ(F3:F6,F8:F16)</f>
        <v>2454.0875171467765</v>
      </c>
      <c r="G25" s="92">
        <f t="shared" si="3"/>
        <v>2827.8398227788284</v>
      </c>
      <c r="H25" s="92">
        <f t="shared" si="3"/>
        <v>3130.6307940862671</v>
      </c>
      <c r="I25" s="92">
        <f t="shared" si="3"/>
        <v>3035.7945743364412</v>
      </c>
      <c r="J25" s="92">
        <f t="shared" si="3"/>
        <v>2923.4947218545904</v>
      </c>
      <c r="K25" s="92">
        <f t="shared" si="3"/>
        <v>2889.2456774858965</v>
      </c>
      <c r="L25" s="92">
        <f t="shared" si="3"/>
        <v>2796.7955569152718</v>
      </c>
      <c r="M25" s="92">
        <f t="shared" si="3"/>
        <v>2829.7751721074374</v>
      </c>
      <c r="N25" s="73"/>
      <c r="O25" s="73"/>
      <c r="P25" s="73"/>
      <c r="Q25" s="73"/>
      <c r="R25" s="73"/>
      <c r="S25" s="73"/>
      <c r="T25" s="73"/>
    </row>
    <row r="26" spans="1:20" ht="15.75" customHeight="1" x14ac:dyDescent="0.25">
      <c r="A26" s="25"/>
      <c r="B26" s="25"/>
      <c r="C26" s="25"/>
      <c r="D26" s="25"/>
      <c r="E26" s="25"/>
      <c r="F26" s="25"/>
      <c r="G26" s="25"/>
      <c r="H26" s="25"/>
      <c r="I26" s="25"/>
      <c r="J26" s="25"/>
      <c r="K26" s="25"/>
      <c r="L26" s="25"/>
      <c r="M26" s="25"/>
      <c r="N26" s="25"/>
      <c r="O26" s="25"/>
      <c r="P26" s="25"/>
      <c r="Q26" s="25"/>
      <c r="R26" s="25"/>
      <c r="S26" s="25"/>
      <c r="T26" s="25"/>
    </row>
    <row r="27" spans="1:20" ht="15.75" customHeight="1" x14ac:dyDescent="0.25">
      <c r="A27" s="25"/>
      <c r="B27" s="56"/>
      <c r="C27" s="25"/>
      <c r="D27" s="25"/>
      <c r="E27" s="25"/>
      <c r="F27" s="25"/>
      <c r="G27" s="25"/>
      <c r="H27" s="25"/>
      <c r="I27" s="25"/>
      <c r="J27" s="25"/>
      <c r="K27" s="25"/>
      <c r="L27" s="25"/>
      <c r="M27" s="25"/>
      <c r="N27" s="25"/>
      <c r="O27" s="25"/>
      <c r="P27" s="25"/>
      <c r="Q27" s="25"/>
      <c r="R27" s="25"/>
      <c r="S27" s="25"/>
      <c r="T27" s="25"/>
    </row>
    <row r="28" spans="1:20" ht="15.75" customHeight="1" x14ac:dyDescent="0.25">
      <c r="A28" s="25"/>
      <c r="B28" s="25"/>
      <c r="C28" s="25"/>
      <c r="D28" s="25"/>
      <c r="E28" s="25"/>
      <c r="F28" s="25"/>
      <c r="G28" s="25"/>
      <c r="H28" s="25"/>
      <c r="I28" s="25"/>
      <c r="J28" s="25"/>
      <c r="K28" s="25"/>
      <c r="L28" s="25"/>
      <c r="M28" s="25"/>
      <c r="N28" s="25"/>
      <c r="O28" s="25"/>
      <c r="P28" s="25"/>
      <c r="Q28" s="25"/>
      <c r="R28" s="25"/>
      <c r="S28" s="25"/>
      <c r="T28" s="25"/>
    </row>
    <row r="29" spans="1:20" ht="15.75" customHeight="1" x14ac:dyDescent="0.25">
      <c r="A29" s="198"/>
      <c r="B29" s="25"/>
      <c r="C29" s="25"/>
      <c r="D29" s="25"/>
      <c r="E29" s="25"/>
      <c r="F29" s="25"/>
      <c r="G29" s="25"/>
      <c r="H29" s="25"/>
      <c r="I29" s="253"/>
      <c r="J29" s="25"/>
      <c r="K29" s="253"/>
      <c r="L29" s="25"/>
      <c r="M29" s="25"/>
      <c r="N29" s="25"/>
      <c r="O29" s="25"/>
      <c r="P29" s="25"/>
      <c r="Q29" s="25"/>
      <c r="R29" s="25"/>
      <c r="S29" s="25"/>
      <c r="T29" s="25"/>
    </row>
  </sheetData>
  <mergeCells count="2">
    <mergeCell ref="B1:M1"/>
    <mergeCell ref="O4:T1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9"/>
  <sheetViews>
    <sheetView workbookViewId="0">
      <pane ySplit="2" topLeftCell="A3" activePane="bottomLeft" state="frozen"/>
      <selection pane="bottomLeft" activeCell="B4" sqref="B4"/>
    </sheetView>
  </sheetViews>
  <sheetFormatPr defaultColWidth="17.25" defaultRowHeight="15" customHeight="1" x14ac:dyDescent="0.2"/>
  <cols>
    <col min="1" max="1" width="17.25" customWidth="1"/>
    <col min="2" max="2" width="10.625" customWidth="1"/>
    <col min="3" max="3" width="12.125" customWidth="1"/>
    <col min="4" max="4" width="12.875" customWidth="1"/>
    <col min="5" max="5" width="12.25" customWidth="1"/>
    <col min="6" max="6" width="11.125" customWidth="1"/>
    <col min="7" max="7" width="12.625" customWidth="1"/>
    <col min="8" max="8" width="12.125" customWidth="1"/>
    <col min="9" max="9" width="13.25" customWidth="1"/>
    <col min="10" max="10" width="11.625" customWidth="1"/>
    <col min="11" max="11" width="11.75" customWidth="1"/>
    <col min="12" max="13" width="7.25" customWidth="1"/>
    <col min="14" max="14" width="7.125" customWidth="1"/>
    <col min="15" max="15" width="7.25" customWidth="1"/>
    <col min="16" max="16" width="11.375" customWidth="1"/>
    <col min="17" max="17" width="16.125" customWidth="1"/>
  </cols>
  <sheetData>
    <row r="1" spans="1:17" ht="18" customHeight="1" x14ac:dyDescent="0.25">
      <c r="A1" s="2"/>
      <c r="B1" s="622" t="s">
        <v>52</v>
      </c>
      <c r="C1" s="623"/>
      <c r="D1" s="623"/>
      <c r="E1" s="623"/>
      <c r="F1" s="623"/>
      <c r="G1" s="623"/>
      <c r="H1" s="623"/>
      <c r="I1" s="623"/>
      <c r="J1" s="623"/>
      <c r="K1" s="623"/>
      <c r="L1" s="2"/>
      <c r="M1" s="2"/>
      <c r="N1" s="2"/>
      <c r="O1" s="2"/>
      <c r="P1" s="2"/>
      <c r="Q1" s="2"/>
    </row>
    <row r="2" spans="1:17" ht="15.75" customHeight="1" x14ac:dyDescent="0.25">
      <c r="A2" s="64"/>
      <c r="B2" s="12">
        <v>1996</v>
      </c>
      <c r="C2" s="12">
        <v>2000</v>
      </c>
      <c r="D2" s="12">
        <v>2004</v>
      </c>
      <c r="E2" s="12">
        <v>2008</v>
      </c>
      <c r="F2" s="12">
        <v>2010</v>
      </c>
      <c r="G2" s="12">
        <v>2011</v>
      </c>
      <c r="H2" s="12">
        <v>2012</v>
      </c>
      <c r="I2" s="12">
        <v>2013</v>
      </c>
      <c r="J2" s="12">
        <v>2014</v>
      </c>
      <c r="K2" s="10"/>
      <c r="L2" s="10"/>
      <c r="M2" s="10"/>
      <c r="N2" s="10"/>
      <c r="O2" s="10"/>
      <c r="P2" s="10"/>
      <c r="Q2" s="10"/>
    </row>
    <row r="3" spans="1:17" ht="15" customHeight="1" x14ac:dyDescent="0.25">
      <c r="A3" s="21" t="s">
        <v>56</v>
      </c>
      <c r="B3" s="6">
        <v>75.599999999999994</v>
      </c>
      <c r="C3" s="23">
        <v>316.39999999999998</v>
      </c>
      <c r="D3" s="23">
        <v>940.6</v>
      </c>
      <c r="E3" s="6">
        <v>1257.8625209180327</v>
      </c>
      <c r="F3" s="6">
        <v>1506.512736393443</v>
      </c>
      <c r="G3" s="6">
        <v>1610.4038606829267</v>
      </c>
      <c r="H3" s="6">
        <v>1697.3651952547298</v>
      </c>
      <c r="I3" s="23">
        <v>1821.5152384427008</v>
      </c>
      <c r="J3" s="69">
        <f>J4+J5</f>
        <v>1967.4</v>
      </c>
      <c r="K3" s="71"/>
      <c r="L3" s="71"/>
      <c r="M3" s="71"/>
      <c r="N3" s="71"/>
      <c r="O3" s="71"/>
      <c r="P3" s="71"/>
      <c r="Q3" s="71"/>
    </row>
    <row r="4" spans="1:17" ht="15" customHeight="1" x14ac:dyDescent="0.25">
      <c r="A4" s="34" t="s">
        <v>66</v>
      </c>
      <c r="B4" s="73">
        <v>64.099999999999994</v>
      </c>
      <c r="C4" s="73">
        <v>253</v>
      </c>
      <c r="D4" s="73">
        <v>821.5</v>
      </c>
      <c r="E4" s="73">
        <v>891.16252091803278</v>
      </c>
      <c r="F4" s="73">
        <v>1062.8127363934429</v>
      </c>
      <c r="G4" s="73">
        <v>1131.0038606829269</v>
      </c>
      <c r="H4" s="35">
        <v>1185.5</v>
      </c>
      <c r="I4" s="73">
        <v>1268.5999999999999</v>
      </c>
      <c r="J4" s="74">
        <v>1365</v>
      </c>
      <c r="K4" s="76"/>
      <c r="L4" s="76"/>
      <c r="M4" s="76"/>
      <c r="N4" s="76"/>
      <c r="O4" s="76"/>
      <c r="P4" s="76"/>
      <c r="Q4" s="76"/>
    </row>
    <row r="5" spans="1:17" ht="15" customHeight="1" x14ac:dyDescent="0.25">
      <c r="A5" s="34" t="s">
        <v>68</v>
      </c>
      <c r="B5" s="73"/>
      <c r="C5" s="73">
        <v>63.4</v>
      </c>
      <c r="D5" s="73">
        <v>119.1</v>
      </c>
      <c r="E5" s="73">
        <v>388.6</v>
      </c>
      <c r="F5" s="73">
        <v>458.4</v>
      </c>
      <c r="G5" s="73">
        <v>488.3</v>
      </c>
      <c r="H5" s="35">
        <v>520.79999999999995</v>
      </c>
      <c r="I5" s="73">
        <v>552.91523844270091</v>
      </c>
      <c r="J5" s="74">
        <v>602.4</v>
      </c>
      <c r="K5" s="76"/>
      <c r="L5" s="76"/>
      <c r="M5" s="76"/>
      <c r="N5" s="76"/>
      <c r="O5" s="76"/>
      <c r="P5" s="76"/>
      <c r="Q5" s="76"/>
    </row>
    <row r="6" spans="1:17" ht="15.75" customHeight="1" x14ac:dyDescent="0.25">
      <c r="A6" s="21" t="s">
        <v>69</v>
      </c>
      <c r="B6" s="6">
        <v>4</v>
      </c>
      <c r="C6" s="6"/>
      <c r="D6" s="6"/>
      <c r="E6" s="6"/>
      <c r="F6" s="6"/>
      <c r="G6" s="6"/>
      <c r="H6" s="23"/>
      <c r="I6" s="23"/>
      <c r="J6" s="23"/>
      <c r="K6" s="25"/>
      <c r="L6" s="25"/>
      <c r="M6" s="25"/>
      <c r="N6" s="25"/>
      <c r="O6" s="25"/>
      <c r="P6" s="25"/>
      <c r="Q6" s="25"/>
    </row>
    <row r="7" spans="1:17" ht="15.75" customHeight="1" x14ac:dyDescent="0.25">
      <c r="A7" s="21" t="s">
        <v>70</v>
      </c>
      <c r="B7" s="6">
        <v>3.6</v>
      </c>
      <c r="C7" s="6"/>
      <c r="D7" s="6"/>
      <c r="E7" s="6"/>
      <c r="F7" s="6"/>
      <c r="G7" s="6"/>
      <c r="H7" s="23"/>
      <c r="I7" s="23"/>
      <c r="J7" s="23"/>
      <c r="K7" s="25"/>
      <c r="L7" s="25"/>
      <c r="M7" s="25"/>
      <c r="N7" s="25"/>
      <c r="O7" s="25"/>
      <c r="P7" s="25"/>
      <c r="Q7" s="25"/>
    </row>
    <row r="8" spans="1:17" ht="15.75" customHeight="1" x14ac:dyDescent="0.25">
      <c r="A8" s="21" t="s">
        <v>71</v>
      </c>
      <c r="B8" s="6">
        <v>2.2000000000000002</v>
      </c>
      <c r="C8" s="6"/>
      <c r="D8" s="6"/>
      <c r="E8" s="6"/>
      <c r="F8" s="6"/>
      <c r="G8" s="6"/>
      <c r="H8" s="23"/>
      <c r="I8" s="23"/>
      <c r="J8" s="23"/>
      <c r="K8" s="25"/>
      <c r="L8" s="626" t="s">
        <v>8</v>
      </c>
      <c r="M8" s="623"/>
      <c r="N8" s="623"/>
      <c r="O8" s="623"/>
      <c r="P8" s="623"/>
      <c r="Q8" s="623"/>
    </row>
    <row r="9" spans="1:17" ht="15.75" customHeight="1" x14ac:dyDescent="0.25">
      <c r="A9" s="21" t="s">
        <v>72</v>
      </c>
      <c r="B9" s="6">
        <v>0.2</v>
      </c>
      <c r="C9" s="6"/>
      <c r="D9" s="6"/>
      <c r="E9" s="6"/>
      <c r="F9" s="6"/>
      <c r="G9" s="6"/>
      <c r="H9" s="23"/>
      <c r="I9" s="23"/>
      <c r="J9" s="23"/>
      <c r="K9" s="25"/>
      <c r="L9" s="623"/>
      <c r="M9" s="623"/>
      <c r="N9" s="623"/>
      <c r="O9" s="623"/>
      <c r="P9" s="623"/>
      <c r="Q9" s="623"/>
    </row>
    <row r="10" spans="1:17" ht="15.75" customHeight="1" x14ac:dyDescent="0.25">
      <c r="A10" s="21" t="s">
        <v>17</v>
      </c>
      <c r="B10" s="6"/>
      <c r="C10" s="6">
        <v>111.5</v>
      </c>
      <c r="D10" s="6">
        <v>378.9</v>
      </c>
      <c r="E10" s="6">
        <v>695</v>
      </c>
      <c r="F10" s="6">
        <v>848</v>
      </c>
      <c r="G10" s="6">
        <v>926</v>
      </c>
      <c r="H10" s="6">
        <v>998</v>
      </c>
      <c r="I10" s="6">
        <v>1159</v>
      </c>
      <c r="J10" s="26">
        <v>1245</v>
      </c>
      <c r="K10" s="25"/>
      <c r="L10" s="623"/>
      <c r="M10" s="623"/>
      <c r="N10" s="623"/>
      <c r="O10" s="623"/>
      <c r="P10" s="623"/>
      <c r="Q10" s="623"/>
    </row>
    <row r="11" spans="1:17" ht="15.75" customHeight="1" x14ac:dyDescent="0.25">
      <c r="A11" s="21" t="s">
        <v>16</v>
      </c>
      <c r="B11" s="6"/>
      <c r="C11" s="23">
        <v>98.9</v>
      </c>
      <c r="D11" s="23">
        <v>432.49299039434379</v>
      </c>
      <c r="E11" s="23">
        <v>714.10257629477394</v>
      </c>
      <c r="F11" s="23">
        <v>927.53330974147173</v>
      </c>
      <c r="G11" s="23">
        <v>976.56406088626932</v>
      </c>
      <c r="H11" s="23">
        <v>1016.9887057527725</v>
      </c>
      <c r="I11" s="23">
        <v>1104.1063818569489</v>
      </c>
      <c r="J11" s="27">
        <v>1142.5999999999999</v>
      </c>
      <c r="K11" s="25"/>
      <c r="L11" s="623"/>
      <c r="M11" s="623"/>
      <c r="N11" s="623"/>
      <c r="O11" s="623"/>
      <c r="P11" s="623"/>
      <c r="Q11" s="623"/>
    </row>
    <row r="12" spans="1:17" ht="15.75" customHeight="1" x14ac:dyDescent="0.25">
      <c r="A12" s="21" t="s">
        <v>73</v>
      </c>
      <c r="B12" s="6"/>
      <c r="C12" s="6">
        <v>13.8</v>
      </c>
      <c r="D12" s="6" t="s">
        <v>74</v>
      </c>
      <c r="E12" s="6"/>
      <c r="F12" s="6"/>
      <c r="G12" s="6"/>
      <c r="H12" s="23"/>
      <c r="I12" s="23"/>
      <c r="J12" s="23"/>
      <c r="K12" s="25"/>
      <c r="L12" s="623"/>
      <c r="M12" s="623"/>
      <c r="N12" s="623"/>
      <c r="O12" s="623"/>
      <c r="P12" s="623"/>
      <c r="Q12" s="623"/>
    </row>
    <row r="13" spans="1:17" ht="15.75" customHeight="1" x14ac:dyDescent="0.25">
      <c r="A13" s="53" t="s">
        <v>75</v>
      </c>
      <c r="B13" s="6"/>
      <c r="C13" s="36"/>
      <c r="D13" s="6">
        <v>222.5</v>
      </c>
      <c r="E13" s="6">
        <v>438.1</v>
      </c>
      <c r="F13" s="6">
        <v>644.29999999999995</v>
      </c>
      <c r="G13" s="6">
        <v>698.2</v>
      </c>
      <c r="H13" s="23">
        <f>74.3+G13</f>
        <v>772.5</v>
      </c>
      <c r="I13" s="23">
        <v>818.4</v>
      </c>
      <c r="J13" s="33">
        <v>868.3</v>
      </c>
      <c r="K13" s="140"/>
      <c r="L13" s="623"/>
      <c r="M13" s="623"/>
      <c r="N13" s="623"/>
      <c r="O13" s="623"/>
      <c r="P13" s="623"/>
      <c r="Q13" s="623"/>
    </row>
    <row r="14" spans="1:17" ht="15.75" customHeight="1" x14ac:dyDescent="0.25">
      <c r="A14" s="21" t="s">
        <v>156</v>
      </c>
      <c r="B14" s="6">
        <v>1.9</v>
      </c>
      <c r="C14" s="6">
        <v>59.7</v>
      </c>
      <c r="D14" s="6" t="s">
        <v>90</v>
      </c>
      <c r="E14" s="6"/>
      <c r="F14" s="6"/>
      <c r="G14" s="6"/>
      <c r="H14" s="23"/>
      <c r="I14" s="23"/>
      <c r="J14" s="23"/>
      <c r="K14" s="25"/>
      <c r="L14" s="623"/>
      <c r="M14" s="623"/>
      <c r="N14" s="623"/>
      <c r="O14" s="623"/>
      <c r="P14" s="623"/>
      <c r="Q14" s="623"/>
    </row>
    <row r="15" spans="1:17" ht="15.75" customHeight="1" x14ac:dyDescent="0.25">
      <c r="A15" s="21" t="s">
        <v>11</v>
      </c>
      <c r="B15" s="23">
        <v>16.8</v>
      </c>
      <c r="C15" s="6">
        <v>170.00645771519999</v>
      </c>
      <c r="D15" s="6">
        <v>377.99250318222226</v>
      </c>
      <c r="E15" s="6">
        <v>505.61991344262299</v>
      </c>
      <c r="F15" s="6">
        <v>572.22109508196718</v>
      </c>
      <c r="G15" s="6">
        <v>643.9729834146342</v>
      </c>
      <c r="H15" s="23">
        <v>722.36201836065595</v>
      </c>
      <c r="I15" s="23">
        <v>795.29173333333324</v>
      </c>
      <c r="J15" s="26">
        <v>880.221</v>
      </c>
      <c r="K15" s="25"/>
      <c r="L15" s="623"/>
      <c r="M15" s="623"/>
      <c r="N15" s="623"/>
      <c r="O15" s="623"/>
      <c r="P15" s="623"/>
      <c r="Q15" s="623"/>
    </row>
    <row r="16" spans="1:17" ht="15.75" customHeight="1" x14ac:dyDescent="0.25">
      <c r="A16" s="21" t="s">
        <v>12</v>
      </c>
      <c r="B16" s="6">
        <v>6.5</v>
      </c>
      <c r="C16" s="6" t="s">
        <v>13</v>
      </c>
      <c r="D16" s="6"/>
      <c r="E16" s="6"/>
      <c r="F16" s="6"/>
      <c r="G16" s="6"/>
      <c r="H16" s="23"/>
      <c r="I16" s="23"/>
      <c r="J16" s="23"/>
      <c r="K16" s="25"/>
      <c r="L16" s="623"/>
      <c r="M16" s="623"/>
      <c r="N16" s="623"/>
      <c r="O16" s="623"/>
      <c r="P16" s="623"/>
      <c r="Q16" s="623"/>
    </row>
    <row r="17" spans="1:17" ht="15.75" customHeight="1" x14ac:dyDescent="0.25">
      <c r="A17" s="21" t="s">
        <v>20</v>
      </c>
      <c r="B17" s="6">
        <v>0.24798600000000001</v>
      </c>
      <c r="C17" s="6">
        <v>30.092101355473343</v>
      </c>
      <c r="D17" s="6">
        <v>101.5035001561387</v>
      </c>
      <c r="E17" s="6">
        <v>215.90817943893768</v>
      </c>
      <c r="F17" s="6">
        <v>284.44322947829147</v>
      </c>
      <c r="G17" s="6">
        <v>307.75711824000001</v>
      </c>
      <c r="H17" s="6">
        <v>345.15400859999994</v>
      </c>
      <c r="I17" s="6">
        <v>372.99406800000003</v>
      </c>
      <c r="J17" s="26">
        <v>395.4</v>
      </c>
      <c r="K17" s="25"/>
      <c r="L17" s="623"/>
      <c r="M17" s="623"/>
      <c r="N17" s="623"/>
      <c r="O17" s="623"/>
      <c r="P17" s="623"/>
      <c r="Q17" s="623"/>
    </row>
    <row r="18" spans="1:17" ht="15.75" customHeight="1" x14ac:dyDescent="0.25">
      <c r="A18" s="21" t="s">
        <v>170</v>
      </c>
      <c r="B18" s="6"/>
      <c r="C18" s="6">
        <v>1.4</v>
      </c>
      <c r="D18" s="6">
        <v>20.7</v>
      </c>
      <c r="E18" s="6">
        <v>146.232</v>
      </c>
      <c r="F18" s="6">
        <v>173.85185999999999</v>
      </c>
      <c r="G18" s="6">
        <v>170.47671399999999</v>
      </c>
      <c r="H18" s="23">
        <v>191.6</v>
      </c>
      <c r="I18" s="6">
        <v>202.3</v>
      </c>
      <c r="J18" s="26">
        <v>207.6</v>
      </c>
      <c r="K18" s="25"/>
      <c r="L18" s="623"/>
      <c r="M18" s="623"/>
      <c r="N18" s="623"/>
      <c r="O18" s="623"/>
      <c r="P18" s="623"/>
      <c r="Q18" s="623"/>
    </row>
    <row r="19" spans="1:17" ht="15.75" customHeight="1" x14ac:dyDescent="0.25">
      <c r="A19" s="21" t="s">
        <v>19</v>
      </c>
      <c r="B19" s="23">
        <v>1.8</v>
      </c>
      <c r="C19" s="6">
        <v>24.792839619335187</v>
      </c>
      <c r="D19" s="6">
        <v>51.117127840263194</v>
      </c>
      <c r="E19" s="6">
        <v>89.814696507523038</v>
      </c>
      <c r="F19" s="6">
        <v>115.46451175518727</v>
      </c>
      <c r="G19" s="6">
        <v>124.70170121501255</v>
      </c>
      <c r="H19" s="6">
        <v>135.98371503785762</v>
      </c>
      <c r="I19" s="6">
        <v>139.95988234800956</v>
      </c>
      <c r="J19" s="26">
        <v>141.35281599999999</v>
      </c>
      <c r="K19" s="25"/>
      <c r="L19" s="623"/>
      <c r="M19" s="623"/>
      <c r="N19" s="623"/>
      <c r="O19" s="623"/>
      <c r="P19" s="623"/>
      <c r="Q19" s="623"/>
    </row>
    <row r="20" spans="1:17" ht="15.75" customHeight="1" x14ac:dyDescent="0.25">
      <c r="A20" s="21" t="s">
        <v>15</v>
      </c>
      <c r="B20" s="6">
        <v>1.4</v>
      </c>
      <c r="C20" s="6">
        <v>20.8</v>
      </c>
      <c r="D20" s="6">
        <v>47</v>
      </c>
      <c r="E20" s="6">
        <v>84.9</v>
      </c>
      <c r="F20" s="6">
        <v>96</v>
      </c>
      <c r="G20" s="6">
        <v>102.5</v>
      </c>
      <c r="H20" s="6">
        <v>110.1</v>
      </c>
      <c r="I20" s="23">
        <v>117.7</v>
      </c>
      <c r="J20" s="26">
        <v>128.5</v>
      </c>
      <c r="K20" s="25"/>
      <c r="L20" s="25"/>
      <c r="M20" s="25"/>
      <c r="N20" s="25"/>
      <c r="O20" s="25"/>
      <c r="P20" s="25"/>
      <c r="Q20" s="25"/>
    </row>
    <row r="21" spans="1:17" ht="15.75" customHeight="1" x14ac:dyDescent="0.25">
      <c r="A21" s="21" t="s">
        <v>235</v>
      </c>
      <c r="B21" s="23"/>
      <c r="C21" s="23">
        <v>12</v>
      </c>
      <c r="D21" s="23">
        <v>18</v>
      </c>
      <c r="E21" s="23">
        <v>45</v>
      </c>
      <c r="F21" s="23">
        <v>67.5</v>
      </c>
      <c r="G21" s="23">
        <v>82.5</v>
      </c>
      <c r="H21" s="23">
        <v>97.5</v>
      </c>
      <c r="I21" s="23">
        <v>112.5</v>
      </c>
      <c r="J21" s="26">
        <v>135</v>
      </c>
      <c r="K21" s="25"/>
      <c r="L21" s="25"/>
      <c r="M21" s="25"/>
      <c r="N21" s="25"/>
      <c r="O21" s="25"/>
      <c r="P21" s="25"/>
      <c r="Q21" s="25"/>
    </row>
    <row r="22" spans="1:17" ht="15.75" customHeight="1" x14ac:dyDescent="0.25">
      <c r="A22" s="21" t="s">
        <v>236</v>
      </c>
      <c r="B22" s="6"/>
      <c r="C22" s="6"/>
      <c r="D22" s="6"/>
      <c r="E22" s="6"/>
      <c r="F22" s="6"/>
      <c r="G22" s="6">
        <v>57.6</v>
      </c>
      <c r="H22" s="27">
        <v>72</v>
      </c>
      <c r="I22" s="26">
        <v>99.6</v>
      </c>
      <c r="J22" s="26">
        <v>116.4</v>
      </c>
      <c r="K22" s="25"/>
      <c r="L22" s="25"/>
      <c r="M22" s="25"/>
      <c r="N22" s="25"/>
      <c r="O22" s="25"/>
      <c r="P22" s="25"/>
      <c r="Q22" s="25"/>
    </row>
    <row r="23" spans="1:17" ht="15.75" customHeight="1" x14ac:dyDescent="0.25">
      <c r="A23" s="21" t="s">
        <v>22</v>
      </c>
      <c r="B23" s="6"/>
      <c r="C23" s="6">
        <v>29.8</v>
      </c>
      <c r="D23" s="6">
        <v>53</v>
      </c>
      <c r="E23" s="6">
        <v>46.1</v>
      </c>
      <c r="F23" s="6">
        <v>39.799999999999997</v>
      </c>
      <c r="G23" s="6">
        <v>37</v>
      </c>
      <c r="H23" s="23">
        <v>41.8</v>
      </c>
      <c r="I23" s="27">
        <v>51.8</v>
      </c>
      <c r="J23" s="151">
        <v>51.8</v>
      </c>
      <c r="K23" s="25"/>
      <c r="L23" s="25"/>
      <c r="M23" s="25"/>
      <c r="N23" s="25"/>
      <c r="O23" s="25"/>
      <c r="P23" s="25"/>
      <c r="Q23" s="25"/>
    </row>
    <row r="24" spans="1:17" ht="15.75" customHeight="1" x14ac:dyDescent="0.25">
      <c r="A24" s="21" t="s">
        <v>239</v>
      </c>
      <c r="B24" s="6"/>
      <c r="C24" s="6"/>
      <c r="D24" s="6">
        <v>6</v>
      </c>
      <c r="E24" s="6">
        <v>9</v>
      </c>
      <c r="F24" s="6">
        <v>12.217599999999999</v>
      </c>
      <c r="G24" s="6">
        <v>12.948</v>
      </c>
      <c r="H24" s="23">
        <v>13.8</v>
      </c>
      <c r="I24" s="6">
        <v>14.674400000000002</v>
      </c>
      <c r="J24" s="151">
        <v>16.258984000000002</v>
      </c>
      <c r="K24" s="25"/>
      <c r="L24" s="25"/>
      <c r="M24" s="25"/>
      <c r="N24" s="25"/>
      <c r="O24" s="25"/>
      <c r="P24" s="25"/>
      <c r="Q24" s="25"/>
    </row>
    <row r="25" spans="1:17" ht="15.75" customHeight="1" x14ac:dyDescent="0.25">
      <c r="A25" s="21" t="s">
        <v>240</v>
      </c>
      <c r="B25" s="6"/>
      <c r="C25" s="6"/>
      <c r="D25" s="6">
        <v>2.52</v>
      </c>
      <c r="E25" s="6">
        <v>3.738</v>
      </c>
      <c r="F25" s="6">
        <v>5.0819999999999999</v>
      </c>
      <c r="G25" s="6">
        <v>5.67</v>
      </c>
      <c r="H25" s="6">
        <v>5.3339999999999996</v>
      </c>
      <c r="I25" s="6">
        <v>5.25</v>
      </c>
      <c r="J25" s="26">
        <v>7.2</v>
      </c>
      <c r="L25" s="25"/>
      <c r="M25" s="25"/>
      <c r="N25" s="25"/>
      <c r="O25" s="25"/>
      <c r="P25" s="25"/>
      <c r="Q25" s="25"/>
    </row>
    <row r="26" spans="1:17" ht="15.75" customHeight="1" x14ac:dyDescent="0.25">
      <c r="A26" s="21" t="s">
        <v>241</v>
      </c>
      <c r="B26" s="6">
        <v>28.8</v>
      </c>
      <c r="C26" s="6">
        <v>69</v>
      </c>
      <c r="D26" s="6">
        <v>120</v>
      </c>
      <c r="E26" s="6"/>
      <c r="F26" s="23"/>
      <c r="G26" s="6"/>
      <c r="H26" s="23"/>
      <c r="I26" s="23"/>
      <c r="J26" s="23"/>
      <c r="K26" s="25"/>
      <c r="L26" s="25"/>
      <c r="M26" s="25"/>
      <c r="N26" s="25"/>
      <c r="O26" s="25"/>
      <c r="P26" s="25"/>
      <c r="Q26" s="25"/>
    </row>
    <row r="27" spans="1:17" ht="15.75" customHeight="1" x14ac:dyDescent="0.25">
      <c r="A27" s="21" t="s">
        <v>242</v>
      </c>
      <c r="B27" s="6">
        <v>0.5</v>
      </c>
      <c r="C27" s="6">
        <v>2.5</v>
      </c>
      <c r="D27" s="6">
        <v>7</v>
      </c>
      <c r="E27" s="6">
        <v>4.3</v>
      </c>
      <c r="F27" s="6"/>
      <c r="G27" s="6"/>
      <c r="H27" s="23"/>
      <c r="I27" s="23"/>
      <c r="J27" s="23"/>
      <c r="K27" s="25"/>
      <c r="L27" s="25"/>
      <c r="M27" s="25"/>
      <c r="N27" s="25"/>
      <c r="O27" s="25"/>
      <c r="P27" s="25"/>
      <c r="Q27" s="25"/>
    </row>
    <row r="28" spans="1:17" ht="15.75" customHeight="1" x14ac:dyDescent="0.25">
      <c r="A28" s="21" t="s">
        <v>243</v>
      </c>
      <c r="B28" s="6"/>
      <c r="C28" s="6">
        <v>60</v>
      </c>
      <c r="D28" s="6">
        <v>14.4</v>
      </c>
      <c r="E28" s="6"/>
      <c r="F28" s="6"/>
      <c r="G28" s="6"/>
      <c r="H28" s="23"/>
      <c r="I28" s="23"/>
      <c r="J28" s="23"/>
      <c r="K28" s="25"/>
      <c r="L28" s="25"/>
      <c r="M28" s="25"/>
      <c r="N28" s="25"/>
      <c r="O28" s="25"/>
      <c r="P28" s="25"/>
      <c r="Q28" s="25"/>
    </row>
    <row r="29" spans="1:17" ht="15.75" customHeight="1" x14ac:dyDescent="0.25">
      <c r="A29" s="21" t="s">
        <v>244</v>
      </c>
      <c r="B29" s="6"/>
      <c r="C29" s="6">
        <v>39.799999999999997</v>
      </c>
      <c r="D29" s="6">
        <v>24.4</v>
      </c>
      <c r="E29" s="6">
        <v>7.8</v>
      </c>
      <c r="F29" s="6"/>
      <c r="G29" s="6"/>
      <c r="H29" s="23"/>
      <c r="I29" s="23"/>
      <c r="J29" s="23"/>
      <c r="K29" s="25"/>
      <c r="L29" s="25"/>
      <c r="M29" s="25"/>
      <c r="N29" s="25"/>
      <c r="O29" s="25"/>
      <c r="P29" s="25"/>
      <c r="Q29" s="25"/>
    </row>
    <row r="30" spans="1:17" ht="15.75" customHeight="1" x14ac:dyDescent="0.25">
      <c r="A30" s="21" t="s">
        <v>245</v>
      </c>
      <c r="B30" s="6">
        <v>14.7</v>
      </c>
      <c r="C30" s="6" t="s">
        <v>246</v>
      </c>
      <c r="D30" s="6"/>
      <c r="E30" s="6"/>
      <c r="F30" s="6"/>
      <c r="G30" s="6"/>
      <c r="H30" s="23"/>
      <c r="I30" s="23"/>
      <c r="J30" s="23"/>
      <c r="K30" s="25"/>
      <c r="L30" s="25"/>
      <c r="M30" s="25"/>
      <c r="N30" s="25"/>
      <c r="O30" s="25"/>
      <c r="P30" s="25"/>
      <c r="Q30" s="25"/>
    </row>
    <row r="31" spans="1:17" ht="15.75" customHeight="1" x14ac:dyDescent="0.25">
      <c r="A31" s="21" t="s">
        <v>247</v>
      </c>
      <c r="B31" s="6"/>
      <c r="C31" s="6"/>
      <c r="D31" s="6"/>
      <c r="E31" s="6">
        <v>0.8</v>
      </c>
      <c r="F31" s="6"/>
      <c r="G31" s="6"/>
      <c r="H31" s="23"/>
      <c r="I31" s="23"/>
      <c r="J31" s="23"/>
      <c r="K31" s="25"/>
      <c r="L31" s="25"/>
      <c r="M31" s="25"/>
      <c r="N31" s="25"/>
      <c r="O31" s="25"/>
      <c r="P31" s="25"/>
      <c r="Q31" s="25"/>
    </row>
    <row r="32" spans="1:17" ht="15.75" customHeight="1" x14ac:dyDescent="0.25">
      <c r="A32" s="21" t="s">
        <v>248</v>
      </c>
      <c r="B32" s="6"/>
      <c r="C32" s="6">
        <v>46.5</v>
      </c>
      <c r="D32" s="6">
        <v>129.9</v>
      </c>
      <c r="E32" s="6"/>
      <c r="F32" s="6"/>
      <c r="G32" s="6"/>
      <c r="H32" s="23"/>
      <c r="I32" s="23"/>
      <c r="J32" s="23"/>
      <c r="K32" s="25"/>
      <c r="L32" s="25"/>
      <c r="M32" s="25"/>
      <c r="N32" s="25"/>
      <c r="O32" s="25"/>
      <c r="P32" s="25"/>
      <c r="Q32" s="25"/>
    </row>
    <row r="33" spans="1:17" ht="15.75" customHeight="1" x14ac:dyDescent="0.25">
      <c r="A33" s="21" t="s">
        <v>249</v>
      </c>
      <c r="B33" s="6"/>
      <c r="C33" s="6">
        <v>60.7</v>
      </c>
      <c r="D33" s="6" t="s">
        <v>250</v>
      </c>
      <c r="E33" s="6"/>
      <c r="F33" s="6"/>
      <c r="G33" s="6"/>
      <c r="H33" s="23"/>
      <c r="I33" s="23"/>
      <c r="J33" s="23"/>
      <c r="K33" s="25"/>
      <c r="L33" s="25"/>
      <c r="M33" s="25"/>
      <c r="N33" s="25"/>
      <c r="O33" s="25"/>
      <c r="P33" s="25"/>
      <c r="Q33" s="25"/>
    </row>
    <row r="34" spans="1:17" ht="15.75" customHeight="1" x14ac:dyDescent="0.25">
      <c r="A34" s="21" t="s">
        <v>252</v>
      </c>
      <c r="B34" s="6">
        <v>17.3</v>
      </c>
      <c r="C34" s="6" t="s">
        <v>253</v>
      </c>
      <c r="D34" s="6"/>
      <c r="E34" s="6"/>
      <c r="F34" s="6"/>
      <c r="G34" s="6"/>
      <c r="H34" s="23"/>
      <c r="I34" s="23"/>
      <c r="J34" s="23"/>
      <c r="K34" s="25"/>
      <c r="L34" s="25"/>
      <c r="M34" s="25"/>
      <c r="N34" s="25"/>
      <c r="O34" s="25"/>
      <c r="P34" s="25"/>
      <c r="Q34" s="25"/>
    </row>
    <row r="35" spans="1:17" ht="15.75" customHeight="1" x14ac:dyDescent="0.25">
      <c r="A35" s="53" t="s">
        <v>254</v>
      </c>
      <c r="B35" s="6">
        <v>0.8</v>
      </c>
      <c r="C35" s="6">
        <v>6.4</v>
      </c>
      <c r="D35" s="6"/>
      <c r="E35" s="6"/>
      <c r="F35" s="6"/>
      <c r="G35" s="6"/>
      <c r="H35" s="23"/>
      <c r="I35" s="23"/>
      <c r="J35" s="23"/>
      <c r="K35" s="25"/>
      <c r="L35" s="25"/>
      <c r="M35" s="25"/>
      <c r="N35" s="25"/>
      <c r="O35" s="25"/>
      <c r="P35" s="25"/>
      <c r="Q35" s="25"/>
    </row>
    <row r="36" spans="1:17" ht="15.75" customHeight="1" x14ac:dyDescent="0.25">
      <c r="A36" s="21" t="s">
        <v>255</v>
      </c>
      <c r="B36" s="6"/>
      <c r="C36" s="6">
        <v>0.5</v>
      </c>
      <c r="D36" s="6" t="s">
        <v>256</v>
      </c>
      <c r="E36" s="6"/>
      <c r="F36" s="6"/>
      <c r="G36" s="6"/>
      <c r="H36" s="23"/>
      <c r="I36" s="23"/>
      <c r="J36" s="23"/>
      <c r="K36" s="25"/>
      <c r="L36" s="25"/>
      <c r="M36" s="25"/>
      <c r="N36" s="25"/>
      <c r="O36" s="25"/>
      <c r="P36" s="25"/>
      <c r="Q36" s="25"/>
    </row>
    <row r="37" spans="1:17" ht="15.75" customHeight="1" x14ac:dyDescent="0.25">
      <c r="A37" s="21" t="s">
        <v>257</v>
      </c>
      <c r="B37" s="6">
        <v>15</v>
      </c>
      <c r="C37" s="6" t="s">
        <v>258</v>
      </c>
      <c r="D37" s="6"/>
      <c r="E37" s="6"/>
      <c r="F37" s="6"/>
      <c r="G37" s="6"/>
      <c r="H37" s="23"/>
      <c r="I37" s="23"/>
      <c r="J37" s="23"/>
      <c r="K37" s="25"/>
      <c r="L37" s="25"/>
      <c r="M37" s="25"/>
      <c r="N37" s="25"/>
      <c r="O37" s="25"/>
      <c r="P37" s="25"/>
      <c r="Q37" s="25"/>
    </row>
    <row r="38" spans="1:17" ht="15.75" customHeight="1" x14ac:dyDescent="0.25">
      <c r="A38" s="25"/>
      <c r="B38" s="24"/>
      <c r="C38" s="24"/>
      <c r="D38" s="24"/>
      <c r="E38" s="24"/>
      <c r="F38" s="24"/>
      <c r="G38" s="24"/>
      <c r="H38" s="25"/>
      <c r="I38" s="25"/>
      <c r="J38" s="25"/>
      <c r="K38" s="25"/>
      <c r="L38" s="25"/>
      <c r="M38" s="25"/>
      <c r="N38" s="25"/>
      <c r="O38" s="25"/>
      <c r="P38" s="25"/>
      <c r="Q38" s="25"/>
    </row>
    <row r="39" spans="1:17" ht="15.75" customHeight="1" x14ac:dyDescent="0.25">
      <c r="A39" s="25"/>
      <c r="B39" s="24"/>
      <c r="C39" s="24"/>
      <c r="D39" s="24"/>
      <c r="E39" s="24"/>
      <c r="F39" s="24"/>
      <c r="G39" s="24"/>
      <c r="H39" s="25"/>
      <c r="I39" s="25"/>
      <c r="J39" s="25"/>
      <c r="K39" s="25"/>
      <c r="L39" s="25"/>
      <c r="M39" s="25"/>
      <c r="N39" s="25"/>
      <c r="O39" s="25"/>
      <c r="P39" s="25"/>
      <c r="Q39" s="25"/>
    </row>
    <row r="40" spans="1:17" ht="15.75" customHeight="1" x14ac:dyDescent="0.25">
      <c r="A40" s="25"/>
      <c r="B40" s="24"/>
      <c r="C40" s="24"/>
      <c r="D40" s="24"/>
      <c r="E40" s="24"/>
      <c r="F40" s="24"/>
      <c r="G40" s="24"/>
      <c r="H40" s="25"/>
      <c r="I40" s="25"/>
      <c r="J40" s="25"/>
      <c r="K40" s="25"/>
      <c r="L40" s="25"/>
      <c r="M40" s="25"/>
      <c r="N40" s="25"/>
      <c r="O40" s="25"/>
      <c r="P40" s="25"/>
      <c r="Q40" s="25"/>
    </row>
    <row r="41" spans="1:17" ht="15.75" customHeight="1" x14ac:dyDescent="0.25">
      <c r="A41" s="56" t="s">
        <v>41</v>
      </c>
      <c r="B41" s="44">
        <v>239</v>
      </c>
      <c r="C41" s="44">
        <v>1800</v>
      </c>
      <c r="D41" s="44">
        <v>4200</v>
      </c>
      <c r="E41" s="44">
        <v>6200</v>
      </c>
      <c r="F41" s="44">
        <v>6800</v>
      </c>
      <c r="G41" s="44">
        <v>7200</v>
      </c>
      <c r="H41" s="44">
        <v>7625</v>
      </c>
      <c r="I41" s="56">
        <v>8100</v>
      </c>
      <c r="J41" s="46">
        <v>8900</v>
      </c>
      <c r="K41" s="158"/>
      <c r="L41" s="56"/>
      <c r="M41" s="56"/>
      <c r="N41" s="56"/>
      <c r="O41" s="56"/>
      <c r="P41" s="56"/>
      <c r="Q41" s="56"/>
    </row>
    <row r="42" spans="1:17" ht="15.75" customHeight="1" x14ac:dyDescent="0.25">
      <c r="A42" s="56" t="s">
        <v>42</v>
      </c>
      <c r="B42" s="57">
        <f>'ISPs (MS)'!B42</f>
        <v>57.94979079497908</v>
      </c>
      <c r="C42" s="57">
        <f>'ISPs (MS)'!C42</f>
        <v>38.711469873066662</v>
      </c>
      <c r="D42" s="57">
        <f>'ISPs (MS)'!D42</f>
        <v>50.71394032325157</v>
      </c>
      <c r="E42" s="57">
        <f>'ISPs (MS)'!E42</f>
        <v>51.170725978313371</v>
      </c>
      <c r="F42" s="57">
        <f>'ISPs (MS)'!F42</f>
        <v>57.740383031395794</v>
      </c>
      <c r="G42" s="57">
        <f>'ISPs (MS)'!G42</f>
        <v>58.488443355127721</v>
      </c>
      <c r="H42" s="57">
        <f>'ISPs (MS)'!H42</f>
        <v>58.817756078786914</v>
      </c>
      <c r="I42" s="57">
        <f>'ISPs (MS)'!I42</f>
        <v>60.531131114810492</v>
      </c>
      <c r="J42" s="57">
        <f>'ISPs (MS)'!J42</f>
        <v>58.688764044943824</v>
      </c>
      <c r="K42" s="25"/>
      <c r="L42" s="25"/>
      <c r="M42" s="25"/>
      <c r="N42" s="25"/>
      <c r="O42" s="25"/>
      <c r="P42" s="25"/>
      <c r="Q42" s="25"/>
    </row>
    <row r="43" spans="1:17" ht="15.75" customHeight="1" x14ac:dyDescent="0.25">
      <c r="A43" s="56" t="s">
        <v>43</v>
      </c>
      <c r="B43" s="57">
        <f>'ISPs (MS)'!B43</f>
        <v>1339.8349988719031</v>
      </c>
      <c r="C43" s="57">
        <f>'ISPs (MS)'!C43</f>
        <v>536.43594174459326</v>
      </c>
      <c r="D43" s="57">
        <f>'ISPs (MS)'!D43</f>
        <v>826.86101525214815</v>
      </c>
      <c r="E43" s="57">
        <f>'ISPs (MS)'!E43</f>
        <v>809.14898543085371</v>
      </c>
      <c r="F43" s="57">
        <f>'ISPs (MS)'!F43</f>
        <v>1023.2608125481307</v>
      </c>
      <c r="G43" s="57">
        <f>'ISPs (MS)'!G43</f>
        <v>1054.8350174804493</v>
      </c>
      <c r="H43" s="57">
        <f>'ISPs (MS)'!H43</f>
        <v>1072.0547949433039</v>
      </c>
      <c r="I43" s="57">
        <f>'ISPs (MS)'!I43</f>
        <v>1131.1555618640405</v>
      </c>
      <c r="J43" s="57">
        <f>'ISPs (MS)'!J43</f>
        <v>1076.3365234178568</v>
      </c>
      <c r="K43" s="25"/>
      <c r="L43" s="25"/>
      <c r="M43" s="25"/>
      <c r="N43" s="25"/>
      <c r="O43" s="25"/>
      <c r="P43" s="25"/>
      <c r="Q43" s="25"/>
    </row>
    <row r="44" spans="1:17" ht="15.75" customHeight="1" x14ac:dyDescent="0.25">
      <c r="A44" s="49" t="s">
        <v>44</v>
      </c>
      <c r="B44" s="50">
        <f>'ISPs (MS)'!B44</f>
        <v>53.138075313807533</v>
      </c>
      <c r="C44" s="50">
        <f>'ISPs (MS)'!C44</f>
        <v>35.189247650844443</v>
      </c>
      <c r="D44" s="50">
        <f>'ISPs (MS)'!D44</f>
        <v>47.878226037537289</v>
      </c>
      <c r="E44" s="50">
        <f>'ISPs (MS)'!E44</f>
        <v>45.25620984928112</v>
      </c>
      <c r="F44" s="50">
        <f>'ISPs (MS)'!F44</f>
        <v>51.215383031395803</v>
      </c>
      <c r="G44" s="50">
        <f>'ISPs (MS)'!G44</f>
        <v>51.830110021794397</v>
      </c>
      <c r="H44" s="50">
        <f>'ISPs (MS)'!H44</f>
        <v>52.104769911511767</v>
      </c>
      <c r="I44" s="50">
        <f>'ISPs (MS)'!I44</f>
        <v>53.705017059962337</v>
      </c>
      <c r="J44" s="50">
        <f>'ISPs (MS)'!J44</f>
        <v>51.920224719101128</v>
      </c>
      <c r="K44" s="51"/>
      <c r="L44" s="51"/>
      <c r="M44" s="51"/>
      <c r="N44" s="51"/>
      <c r="O44" s="51"/>
      <c r="P44" s="51"/>
      <c r="Q44" s="51"/>
    </row>
    <row r="45" spans="1:17" ht="15.75" customHeight="1" x14ac:dyDescent="0.25">
      <c r="A45" s="49" t="s">
        <v>45</v>
      </c>
      <c r="B45" s="50">
        <f>'ISPs (MS)'!B45</f>
        <v>1058.5811692820846</v>
      </c>
      <c r="C45" s="50">
        <f>'ISPs (MS)'!C45</f>
        <v>437.42236149767962</v>
      </c>
      <c r="D45" s="50">
        <f>'ISPs (MS)'!D45</f>
        <v>715.93057307527749</v>
      </c>
      <c r="E45" s="50">
        <f>'ISPs (MS)'!E45</f>
        <v>643.42642485819886</v>
      </c>
      <c r="F45" s="50">
        <f>'ISPs (MS)'!F45</f>
        <v>822.16237996258985</v>
      </c>
      <c r="G45" s="50">
        <f>'ISPs (MS)'!G45</f>
        <v>847.31303221370695</v>
      </c>
      <c r="H45" s="50">
        <f>'ISPs (MS)'!H45</f>
        <v>864.90089591622473</v>
      </c>
      <c r="I45" s="50">
        <f>'ISPs (MS)'!I45</f>
        <v>917.3380732225495</v>
      </c>
      <c r="J45" s="50">
        <f>'ISPs (MS)'!J45</f>
        <v>868.71728342290646</v>
      </c>
      <c r="K45" s="51"/>
      <c r="L45" s="51"/>
      <c r="M45" s="51"/>
      <c r="N45" s="51"/>
      <c r="O45" s="51"/>
      <c r="P45" s="51"/>
      <c r="Q45" s="51"/>
    </row>
    <row r="46" spans="1:17" ht="15.75" customHeight="1" x14ac:dyDescent="0.25">
      <c r="A46" s="9"/>
      <c r="B46" s="25"/>
      <c r="C46" s="9"/>
      <c r="D46" s="9"/>
      <c r="E46" s="9"/>
      <c r="F46" s="9"/>
      <c r="G46" s="9"/>
      <c r="H46" s="25"/>
      <c r="I46" s="25"/>
      <c r="J46" s="25"/>
      <c r="K46" s="25"/>
      <c r="L46" s="25"/>
      <c r="M46" s="25"/>
      <c r="N46" s="25"/>
      <c r="O46" s="25"/>
      <c r="P46" s="25"/>
      <c r="Q46" s="25"/>
    </row>
    <row r="47" spans="1:17" ht="15.75" customHeight="1" x14ac:dyDescent="0.25">
      <c r="A47" s="9"/>
      <c r="B47" s="631" t="s">
        <v>305</v>
      </c>
      <c r="C47" s="623"/>
      <c r="D47" s="623"/>
      <c r="E47" s="9"/>
      <c r="F47" s="9"/>
      <c r="G47" s="9"/>
      <c r="H47" s="25"/>
      <c r="I47" s="25"/>
      <c r="J47" s="25"/>
      <c r="K47" s="25"/>
      <c r="L47" s="25"/>
      <c r="M47" s="25"/>
      <c r="N47" s="25"/>
      <c r="O47" s="25"/>
      <c r="P47" s="25"/>
      <c r="Q47" s="25"/>
    </row>
    <row r="48" spans="1:17" ht="15.75" customHeight="1" x14ac:dyDescent="0.25">
      <c r="A48" s="9"/>
      <c r="B48" s="630" t="s">
        <v>307</v>
      </c>
      <c r="C48" s="623"/>
      <c r="D48" s="623"/>
      <c r="E48" s="623"/>
      <c r="F48" s="623"/>
      <c r="G48" s="623"/>
      <c r="H48" s="623"/>
      <c r="I48" s="623"/>
      <c r="J48" s="623"/>
      <c r="K48" s="25"/>
      <c r="L48" s="25"/>
      <c r="M48" s="25"/>
      <c r="N48" s="25"/>
      <c r="O48" s="25"/>
      <c r="P48" s="25"/>
      <c r="Q48" s="25"/>
    </row>
    <row r="49" spans="1:17" ht="15.75" customHeight="1" x14ac:dyDescent="0.25">
      <c r="A49" s="9"/>
      <c r="B49" s="623"/>
      <c r="C49" s="623"/>
      <c r="D49" s="623"/>
      <c r="E49" s="623"/>
      <c r="F49" s="623"/>
      <c r="G49" s="623"/>
      <c r="H49" s="623"/>
      <c r="I49" s="623"/>
      <c r="J49" s="623"/>
      <c r="K49" s="25"/>
      <c r="L49" s="25"/>
      <c r="M49" s="25"/>
      <c r="N49" s="25"/>
      <c r="O49" s="25"/>
      <c r="P49" s="25"/>
      <c r="Q49" s="25"/>
    </row>
    <row r="50" spans="1:17" ht="15.75" customHeight="1" x14ac:dyDescent="0.25">
      <c r="A50" s="9"/>
      <c r="B50" s="623"/>
      <c r="C50" s="623"/>
      <c r="D50" s="623"/>
      <c r="E50" s="623"/>
      <c r="F50" s="623"/>
      <c r="G50" s="623"/>
      <c r="H50" s="623"/>
      <c r="I50" s="623"/>
      <c r="J50" s="623"/>
      <c r="K50" s="25"/>
      <c r="L50" s="25"/>
      <c r="M50" s="25"/>
      <c r="N50" s="25"/>
      <c r="O50" s="25"/>
      <c r="P50" s="25"/>
      <c r="Q50" s="25"/>
    </row>
    <row r="51" spans="1:17" ht="15.75" customHeight="1" x14ac:dyDescent="0.25">
      <c r="A51" s="9"/>
      <c r="B51" s="623"/>
      <c r="C51" s="623"/>
      <c r="D51" s="623"/>
      <c r="E51" s="623"/>
      <c r="F51" s="623"/>
      <c r="G51" s="623"/>
      <c r="H51" s="623"/>
      <c r="I51" s="623"/>
      <c r="J51" s="623"/>
      <c r="K51" s="25"/>
      <c r="L51" s="25"/>
      <c r="M51" s="25"/>
      <c r="N51" s="25"/>
      <c r="O51" s="25"/>
      <c r="P51" s="25"/>
      <c r="Q51" s="25"/>
    </row>
    <row r="52" spans="1:17" ht="15.75" customHeight="1" x14ac:dyDescent="0.25">
      <c r="A52" s="9"/>
      <c r="B52" s="623"/>
      <c r="C52" s="623"/>
      <c r="D52" s="623"/>
      <c r="E52" s="623"/>
      <c r="F52" s="623"/>
      <c r="G52" s="623"/>
      <c r="H52" s="623"/>
      <c r="I52" s="623"/>
      <c r="J52" s="623"/>
      <c r="K52" s="25"/>
      <c r="L52" s="25"/>
      <c r="M52" s="25"/>
      <c r="N52" s="25"/>
      <c r="O52" s="25"/>
      <c r="P52" s="25"/>
      <c r="Q52" s="25"/>
    </row>
    <row r="53" spans="1:17" ht="15.75" customHeight="1" x14ac:dyDescent="0.25">
      <c r="A53" s="9"/>
      <c r="B53" s="623"/>
      <c r="C53" s="623"/>
      <c r="D53" s="623"/>
      <c r="E53" s="623"/>
      <c r="F53" s="623"/>
      <c r="G53" s="623"/>
      <c r="H53" s="623"/>
      <c r="I53" s="623"/>
      <c r="J53" s="623"/>
      <c r="K53" s="25"/>
      <c r="L53" s="25"/>
      <c r="M53" s="25"/>
      <c r="N53" s="25"/>
      <c r="O53" s="25"/>
      <c r="P53" s="25"/>
      <c r="Q53" s="25"/>
    </row>
    <row r="54" spans="1:17" ht="15.75" customHeight="1" x14ac:dyDescent="0.25">
      <c r="A54" s="9"/>
      <c r="B54" s="623"/>
      <c r="C54" s="623"/>
      <c r="D54" s="623"/>
      <c r="E54" s="623"/>
      <c r="F54" s="623"/>
      <c r="G54" s="623"/>
      <c r="H54" s="623"/>
      <c r="I54" s="623"/>
      <c r="J54" s="623"/>
      <c r="K54" s="25"/>
      <c r="L54" s="25"/>
      <c r="M54" s="25"/>
      <c r="N54" s="25"/>
      <c r="O54" s="25"/>
      <c r="P54" s="25"/>
      <c r="Q54" s="25"/>
    </row>
    <row r="55" spans="1:17" ht="15.75" customHeight="1" x14ac:dyDescent="0.25">
      <c r="A55" s="9"/>
      <c r="B55" s="623"/>
      <c r="C55" s="623"/>
      <c r="D55" s="623"/>
      <c r="E55" s="623"/>
      <c r="F55" s="623"/>
      <c r="G55" s="623"/>
      <c r="H55" s="623"/>
      <c r="I55" s="623"/>
      <c r="J55" s="623"/>
      <c r="K55" s="25"/>
      <c r="L55" s="25"/>
      <c r="M55" s="25"/>
      <c r="N55" s="25"/>
      <c r="O55" s="25"/>
      <c r="P55" s="25"/>
      <c r="Q55" s="25"/>
    </row>
    <row r="56" spans="1:17" ht="15.75" customHeight="1" x14ac:dyDescent="0.25">
      <c r="A56" s="9"/>
      <c r="B56" s="623"/>
      <c r="C56" s="623"/>
      <c r="D56" s="623"/>
      <c r="E56" s="623"/>
      <c r="F56" s="623"/>
      <c r="G56" s="623"/>
      <c r="H56" s="623"/>
      <c r="I56" s="623"/>
      <c r="J56" s="623"/>
      <c r="K56" s="25"/>
      <c r="L56" s="25"/>
      <c r="M56" s="25"/>
      <c r="N56" s="25"/>
      <c r="O56" s="25"/>
      <c r="P56" s="25"/>
      <c r="Q56" s="25"/>
    </row>
    <row r="57" spans="1:17" ht="15.75" customHeight="1" x14ac:dyDescent="0.25">
      <c r="A57" s="9"/>
      <c r="B57" s="623"/>
      <c r="C57" s="623"/>
      <c r="D57" s="623"/>
      <c r="E57" s="623"/>
      <c r="F57" s="623"/>
      <c r="G57" s="623"/>
      <c r="H57" s="623"/>
      <c r="I57" s="623"/>
      <c r="J57" s="623"/>
      <c r="K57" s="25"/>
      <c r="L57" s="25"/>
      <c r="M57" s="25"/>
      <c r="N57" s="25"/>
      <c r="O57" s="25"/>
      <c r="P57" s="25"/>
      <c r="Q57" s="25"/>
    </row>
    <row r="58" spans="1:17" ht="15.75" customHeight="1" x14ac:dyDescent="0.25">
      <c r="A58" s="9"/>
      <c r="B58" s="623"/>
      <c r="C58" s="623"/>
      <c r="D58" s="623"/>
      <c r="E58" s="623"/>
      <c r="F58" s="623"/>
      <c r="G58" s="623"/>
      <c r="H58" s="623"/>
      <c r="I58" s="623"/>
      <c r="J58" s="623"/>
      <c r="K58" s="25"/>
      <c r="L58" s="25"/>
      <c r="M58" s="25"/>
      <c r="N58" s="25"/>
      <c r="O58" s="25"/>
      <c r="P58" s="25"/>
      <c r="Q58" s="25"/>
    </row>
    <row r="59" spans="1:17" ht="15.75" customHeight="1" x14ac:dyDescent="0.25">
      <c r="A59" s="9"/>
      <c r="B59" s="623"/>
      <c r="C59" s="623"/>
      <c r="D59" s="623"/>
      <c r="E59" s="623"/>
      <c r="F59" s="623"/>
      <c r="G59" s="623"/>
      <c r="H59" s="623"/>
      <c r="I59" s="623"/>
      <c r="J59" s="623"/>
      <c r="K59" s="25"/>
      <c r="L59" s="25"/>
      <c r="M59" s="25"/>
      <c r="N59" s="25"/>
      <c r="O59" s="25"/>
      <c r="P59" s="25"/>
      <c r="Q59" s="25"/>
    </row>
    <row r="60" spans="1:17" ht="15.75" customHeight="1" x14ac:dyDescent="0.25">
      <c r="A60" s="9"/>
      <c r="B60" s="623"/>
      <c r="C60" s="623"/>
      <c r="D60" s="623"/>
      <c r="E60" s="623"/>
      <c r="F60" s="623"/>
      <c r="G60" s="623"/>
      <c r="H60" s="623"/>
      <c r="I60" s="623"/>
      <c r="J60" s="623"/>
      <c r="K60" s="25"/>
      <c r="L60" s="25"/>
      <c r="M60" s="25"/>
      <c r="N60" s="25"/>
      <c r="O60" s="25"/>
      <c r="P60" s="25"/>
      <c r="Q60" s="25"/>
    </row>
    <row r="61" spans="1:17" ht="15.75" customHeight="1" x14ac:dyDescent="0.25">
      <c r="A61" s="9"/>
      <c r="B61" s="623"/>
      <c r="C61" s="623"/>
      <c r="D61" s="623"/>
      <c r="E61" s="623"/>
      <c r="F61" s="623"/>
      <c r="G61" s="623"/>
      <c r="H61" s="623"/>
      <c r="I61" s="623"/>
      <c r="J61" s="623"/>
      <c r="K61" s="25"/>
      <c r="L61" s="25"/>
      <c r="M61" s="25"/>
      <c r="N61" s="25"/>
      <c r="O61" s="25"/>
      <c r="P61" s="25"/>
      <c r="Q61" s="25"/>
    </row>
    <row r="62" spans="1:17" ht="15.75" customHeight="1" x14ac:dyDescent="0.25">
      <c r="A62" s="9"/>
      <c r="B62" s="623"/>
      <c r="C62" s="623"/>
      <c r="D62" s="623"/>
      <c r="E62" s="623"/>
      <c r="F62" s="623"/>
      <c r="G62" s="623"/>
      <c r="H62" s="623"/>
      <c r="I62" s="623"/>
      <c r="J62" s="623"/>
      <c r="K62" s="25"/>
      <c r="L62" s="25"/>
      <c r="M62" s="25"/>
      <c r="N62" s="25"/>
      <c r="O62" s="25"/>
      <c r="P62" s="25"/>
      <c r="Q62" s="25"/>
    </row>
    <row r="63" spans="1:17" ht="15.75" customHeight="1" x14ac:dyDescent="0.25">
      <c r="A63" s="9"/>
      <c r="B63" s="623"/>
      <c r="C63" s="623"/>
      <c r="D63" s="623"/>
      <c r="E63" s="623"/>
      <c r="F63" s="623"/>
      <c r="G63" s="623"/>
      <c r="H63" s="623"/>
      <c r="I63" s="623"/>
      <c r="J63" s="623"/>
      <c r="K63" s="25"/>
      <c r="L63" s="25"/>
      <c r="M63" s="25"/>
      <c r="N63" s="25"/>
      <c r="O63" s="25"/>
      <c r="P63" s="25"/>
      <c r="Q63" s="25"/>
    </row>
    <row r="64" spans="1:17" ht="15.75" customHeight="1" x14ac:dyDescent="0.25">
      <c r="A64" s="9"/>
      <c r="B64" s="623"/>
      <c r="C64" s="623"/>
      <c r="D64" s="623"/>
      <c r="E64" s="623"/>
      <c r="F64" s="623"/>
      <c r="G64" s="623"/>
      <c r="H64" s="623"/>
      <c r="I64" s="623"/>
      <c r="J64" s="623"/>
      <c r="K64" s="25"/>
      <c r="L64" s="25"/>
      <c r="M64" s="25"/>
      <c r="N64" s="25"/>
      <c r="O64" s="25"/>
      <c r="P64" s="25"/>
      <c r="Q64" s="25"/>
    </row>
    <row r="65" spans="1:17" ht="15.75" customHeight="1" x14ac:dyDescent="0.25">
      <c r="A65" s="9"/>
      <c r="B65" s="623"/>
      <c r="C65" s="623"/>
      <c r="D65" s="623"/>
      <c r="E65" s="623"/>
      <c r="F65" s="623"/>
      <c r="G65" s="623"/>
      <c r="H65" s="623"/>
      <c r="I65" s="623"/>
      <c r="J65" s="623"/>
      <c r="K65" s="25"/>
      <c r="L65" s="25"/>
      <c r="M65" s="25"/>
      <c r="N65" s="25"/>
      <c r="O65" s="25"/>
      <c r="P65" s="25"/>
      <c r="Q65" s="25"/>
    </row>
    <row r="66" spans="1:17" ht="15.75" customHeight="1" x14ac:dyDescent="0.25">
      <c r="A66" s="9"/>
      <c r="B66" s="623"/>
      <c r="C66" s="623"/>
      <c r="D66" s="623"/>
      <c r="E66" s="623"/>
      <c r="F66" s="623"/>
      <c r="G66" s="623"/>
      <c r="H66" s="623"/>
      <c r="I66" s="623"/>
      <c r="J66" s="623"/>
      <c r="K66" s="25"/>
      <c r="L66" s="25"/>
      <c r="M66" s="25"/>
      <c r="N66" s="25"/>
      <c r="O66" s="25"/>
      <c r="P66" s="25"/>
      <c r="Q66" s="25"/>
    </row>
    <row r="67" spans="1:17" ht="15.75" customHeight="1" x14ac:dyDescent="0.25">
      <c r="A67" s="9"/>
      <c r="B67" s="623"/>
      <c r="C67" s="623"/>
      <c r="D67" s="623"/>
      <c r="E67" s="623"/>
      <c r="F67" s="623"/>
      <c r="G67" s="623"/>
      <c r="H67" s="623"/>
      <c r="I67" s="623"/>
      <c r="J67" s="623"/>
      <c r="K67" s="25"/>
      <c r="L67" s="25"/>
      <c r="M67" s="25"/>
      <c r="N67" s="25"/>
      <c r="O67" s="25"/>
      <c r="P67" s="25"/>
      <c r="Q67" s="25"/>
    </row>
    <row r="68" spans="1:17" ht="15.75" customHeight="1" x14ac:dyDescent="0.25">
      <c r="A68" s="9"/>
      <c r="B68" s="623"/>
      <c r="C68" s="623"/>
      <c r="D68" s="623"/>
      <c r="E68" s="623"/>
      <c r="F68" s="623"/>
      <c r="G68" s="623"/>
      <c r="H68" s="623"/>
      <c r="I68" s="623"/>
      <c r="J68" s="623"/>
      <c r="K68" s="25"/>
      <c r="L68" s="25"/>
      <c r="M68" s="25"/>
      <c r="N68" s="25"/>
      <c r="O68" s="25"/>
      <c r="P68" s="25"/>
      <c r="Q68" s="25"/>
    </row>
    <row r="69" spans="1:17" ht="15.75" customHeight="1" x14ac:dyDescent="0.25">
      <c r="A69" s="9"/>
      <c r="B69" s="623"/>
      <c r="C69" s="623"/>
      <c r="D69" s="623"/>
      <c r="E69" s="623"/>
      <c r="F69" s="623"/>
      <c r="G69" s="623"/>
      <c r="H69" s="623"/>
      <c r="I69" s="623"/>
      <c r="J69" s="623"/>
      <c r="K69" s="25"/>
      <c r="L69" s="25"/>
      <c r="M69" s="25"/>
      <c r="N69" s="25"/>
      <c r="O69" s="25"/>
      <c r="P69" s="25"/>
      <c r="Q69" s="25"/>
    </row>
  </sheetData>
  <mergeCells count="4">
    <mergeCell ref="B1:K1"/>
    <mergeCell ref="B48:J69"/>
    <mergeCell ref="B47:D47"/>
    <mergeCell ref="L8:Q19"/>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18.75" customWidth="1"/>
    <col min="2" max="2" width="10.75" customWidth="1"/>
    <col min="3" max="3" width="12.125" customWidth="1"/>
    <col min="4" max="4" width="12.875" customWidth="1"/>
    <col min="5" max="17" width="10.75" customWidth="1"/>
  </cols>
  <sheetData>
    <row r="1" spans="1:17" ht="18" customHeight="1" x14ac:dyDescent="0.25">
      <c r="A1" s="60"/>
      <c r="B1" s="632" t="s">
        <v>51</v>
      </c>
      <c r="C1" s="623"/>
      <c r="D1" s="623"/>
      <c r="E1" s="623"/>
      <c r="F1" s="623"/>
      <c r="G1" s="623"/>
      <c r="H1" s="623"/>
      <c r="I1" s="623"/>
      <c r="J1" s="623"/>
      <c r="K1" s="623"/>
      <c r="L1" s="623"/>
      <c r="M1" s="62"/>
      <c r="N1" s="62"/>
      <c r="O1" s="62"/>
      <c r="P1" s="62"/>
      <c r="Q1" s="62"/>
    </row>
    <row r="2" spans="1:17" ht="15.75" customHeight="1" x14ac:dyDescent="0.25">
      <c r="A2" s="10"/>
      <c r="B2" s="12">
        <v>1996</v>
      </c>
      <c r="C2" s="12">
        <v>2000</v>
      </c>
      <c r="D2" s="12">
        <v>2004</v>
      </c>
      <c r="E2" s="12">
        <v>2008</v>
      </c>
      <c r="F2" s="12">
        <v>2010</v>
      </c>
      <c r="G2" s="12">
        <v>2011</v>
      </c>
      <c r="H2" s="12">
        <v>2012</v>
      </c>
      <c r="I2" s="12">
        <v>2013</v>
      </c>
      <c r="J2" s="12">
        <v>2014</v>
      </c>
      <c r="K2" s="10"/>
      <c r="L2" s="10"/>
      <c r="M2" s="10"/>
      <c r="N2" s="10"/>
      <c r="O2" s="10"/>
      <c r="P2" s="10"/>
      <c r="Q2" s="10"/>
    </row>
    <row r="3" spans="1:17" ht="15.75" customHeight="1" x14ac:dyDescent="0.25">
      <c r="A3" s="21" t="s">
        <v>56</v>
      </c>
      <c r="B3" s="159">
        <f>('ISPs (RV)'!B3)/('ISPs (RV)'!B41)*100</f>
        <v>31.631799163179913</v>
      </c>
      <c r="C3" s="159">
        <f>('ISPs (RV)'!C3)/('ISPs (RV)'!C41)*100</f>
        <v>17.577777777777776</v>
      </c>
      <c r="D3" s="159">
        <f>('ISPs (RV)'!D3)/('ISPs (RV)'!D41)*100</f>
        <v>22.395238095238096</v>
      </c>
      <c r="E3" s="159">
        <f>('ISPs (RV)'!E3)/('ISPs (RV)'!E41)*100</f>
        <v>20.2881051760973</v>
      </c>
      <c r="F3" s="159">
        <f>('ISPs (RV)'!F3)/('ISPs (RV)'!F41)*100</f>
        <v>22.154599064609457</v>
      </c>
      <c r="G3" s="159">
        <f>('ISPs (RV)'!G3)/('ISPs (RV)'!G41)*100</f>
        <v>22.366720287262869</v>
      </c>
      <c r="H3" s="159">
        <f>('ISPs (RV)'!H3)/('ISPs (RV)'!H41)*100</f>
        <v>22.2605271508817</v>
      </c>
      <c r="I3" s="159">
        <f>('ISPs (RV)'!I3)/('ISPs (RV)'!I41)*100</f>
        <v>22.487842449909888</v>
      </c>
      <c r="J3" s="159">
        <f>('ISPs (RV)'!J3)/('ISPs (RV)'!J41)*100</f>
        <v>22.105617977528091</v>
      </c>
      <c r="K3" s="25"/>
      <c r="L3" s="25"/>
      <c r="M3" s="25"/>
      <c r="N3" s="25"/>
      <c r="O3" s="25"/>
      <c r="P3" s="25"/>
      <c r="Q3" s="25"/>
    </row>
    <row r="4" spans="1:17" ht="15.75" customHeight="1" x14ac:dyDescent="0.25">
      <c r="A4" s="34" t="s">
        <v>66</v>
      </c>
      <c r="B4" s="169">
        <f>('ISPs (RV)'!B4)/('ISPs (RV)'!B41)*100</f>
        <v>26.820083682008367</v>
      </c>
      <c r="C4" s="169">
        <f>('ISPs (RV)'!C4)/('ISPs (RV)'!C41)*100</f>
        <v>14.055555555555554</v>
      </c>
      <c r="D4" s="169">
        <f>('ISPs (RV)'!D4)/('ISPs (RV)'!D41)*100</f>
        <v>19.55952380952381</v>
      </c>
      <c r="E4" s="169">
        <f>('ISPs (RV)'!E4)/('ISPs (RV)'!E41)*100</f>
        <v>14.373589047065044</v>
      </c>
      <c r="F4" s="169">
        <f>('ISPs (RV)'!F4)/('ISPs (RV)'!F41)*100</f>
        <v>15.629599064609456</v>
      </c>
      <c r="G4" s="169">
        <f>('ISPs (RV)'!G4)/('ISPs (RV)'!G41)*100</f>
        <v>15.708386953929541</v>
      </c>
      <c r="H4" s="169">
        <f>('ISPs (RV)'!H4)/('ISPs (RV)'!H41)*100</f>
        <v>15.547540983606559</v>
      </c>
      <c r="I4" s="169">
        <f>('ISPs (RV)'!I4)/('ISPs (RV)'!I41)*100</f>
        <v>15.661728395061727</v>
      </c>
      <c r="J4" s="169">
        <f>('ISPs (RV)'!J4)/('ISPs (RV)'!J41)*100</f>
        <v>15.337078651685394</v>
      </c>
      <c r="K4" s="51"/>
      <c r="L4" s="169"/>
      <c r="M4" s="34"/>
      <c r="N4" s="34"/>
      <c r="O4" s="34"/>
      <c r="P4" s="34"/>
      <c r="Q4" s="34"/>
    </row>
    <row r="5" spans="1:17" ht="15.75" customHeight="1" x14ac:dyDescent="0.25">
      <c r="A5" s="34" t="s">
        <v>68</v>
      </c>
      <c r="B5" s="34"/>
      <c r="C5" s="169">
        <f>('ISPs (RV)'!C5)/('ISPs (RV)'!C41)*100</f>
        <v>3.5222222222222226</v>
      </c>
      <c r="D5" s="169">
        <f>('ISPs (RV)'!D5)/('ISPs (RV)'!D41)*100</f>
        <v>2.8357142857142854</v>
      </c>
      <c r="E5" s="169">
        <f>('ISPs (RV)'!E5)/('ISPs (RV)'!E41)*100</f>
        <v>6.2677419354838708</v>
      </c>
      <c r="F5" s="169">
        <f>('ISPs (RV)'!F5)/('ISPs (RV)'!F41)*100</f>
        <v>6.7411764705882353</v>
      </c>
      <c r="G5" s="169">
        <f>('ISPs (RV)'!G5)/('ISPs (RV)'!G41)*100</f>
        <v>6.781944444444445</v>
      </c>
      <c r="H5" s="169">
        <f>('ISPs (RV)'!H5)/('ISPs (RV)'!H41)*100</f>
        <v>6.8301639344262286</v>
      </c>
      <c r="I5" s="169">
        <f>('ISPs (RV)'!I5)/('ISPs (RV)'!I41)*100</f>
        <v>6.8261140548481594</v>
      </c>
      <c r="J5" s="169">
        <f>('ISPs (RV)'!J5)/('ISPs (RV)'!J41)*100</f>
        <v>6.7685393258426956</v>
      </c>
      <c r="K5" s="51"/>
      <c r="L5" s="169"/>
      <c r="M5" s="34"/>
      <c r="N5" s="34"/>
      <c r="O5" s="34"/>
      <c r="P5" s="34"/>
      <c r="Q5" s="34"/>
    </row>
    <row r="6" spans="1:17" ht="15.75" customHeight="1" x14ac:dyDescent="0.25">
      <c r="A6" s="21" t="s">
        <v>69</v>
      </c>
      <c r="B6" s="159">
        <f>('ISPs (RV)'!B6)/('ISPs (RV)'!B41)*100</f>
        <v>1.6736401673640167</v>
      </c>
      <c r="C6" s="108"/>
      <c r="D6" s="108"/>
      <c r="E6" s="108"/>
      <c r="F6" s="108"/>
      <c r="G6" s="108"/>
      <c r="H6" s="21"/>
      <c r="I6" s="21"/>
      <c r="J6" s="21"/>
      <c r="K6" s="25"/>
      <c r="L6" s="21"/>
      <c r="M6" s="21"/>
      <c r="N6" s="21"/>
      <c r="O6" s="21"/>
      <c r="P6" s="21"/>
      <c r="Q6" s="21"/>
    </row>
    <row r="7" spans="1:17" ht="15.75" customHeight="1" x14ac:dyDescent="0.25">
      <c r="A7" s="21" t="s">
        <v>70</v>
      </c>
      <c r="B7" s="227">
        <f>('ISPs (RV)'!B7)/('ISPs (RV)'!B41)*100</f>
        <v>1.506276150627615</v>
      </c>
      <c r="C7" s="108"/>
      <c r="D7" s="108"/>
      <c r="E7" s="108"/>
      <c r="F7" s="108"/>
      <c r="G7" s="108"/>
      <c r="H7" s="108"/>
      <c r="I7" s="21"/>
      <c r="J7" s="108"/>
      <c r="K7" s="25"/>
      <c r="L7" s="108"/>
      <c r="M7" s="108"/>
      <c r="N7" s="108"/>
      <c r="O7" s="108"/>
      <c r="P7" s="108"/>
      <c r="Q7" s="108"/>
    </row>
    <row r="8" spans="1:17" ht="15.75" customHeight="1" x14ac:dyDescent="0.25">
      <c r="A8" s="21" t="s">
        <v>71</v>
      </c>
      <c r="B8" s="159">
        <f>('ISPs (RV)'!B8)/('ISPs (RV)'!B41)*100</f>
        <v>0.92050209205020928</v>
      </c>
      <c r="C8" s="108"/>
      <c r="D8" s="108"/>
      <c r="E8" s="108"/>
      <c r="F8" s="108"/>
      <c r="G8" s="108"/>
      <c r="H8" s="21"/>
      <c r="I8" s="21"/>
      <c r="J8" s="21"/>
      <c r="K8" s="25"/>
      <c r="L8" s="21"/>
      <c r="M8" s="21"/>
      <c r="N8" s="21"/>
      <c r="O8" s="21"/>
      <c r="P8" s="21"/>
      <c r="Q8" s="21"/>
    </row>
    <row r="9" spans="1:17" ht="15.75" customHeight="1" x14ac:dyDescent="0.25">
      <c r="A9" s="21" t="s">
        <v>72</v>
      </c>
      <c r="B9" s="159">
        <f>('ISPs (RV)'!B9)/('ISPs (RV)'!B41)*100</f>
        <v>8.3682008368200847E-2</v>
      </c>
      <c r="C9" s="108"/>
      <c r="D9" s="108"/>
      <c r="E9" s="108"/>
      <c r="F9" s="108"/>
      <c r="G9" s="108"/>
      <c r="H9" s="21"/>
      <c r="I9" s="21"/>
      <c r="J9" s="21"/>
      <c r="K9" s="25"/>
      <c r="L9" s="626" t="s">
        <v>8</v>
      </c>
      <c r="M9" s="623"/>
      <c r="N9" s="623"/>
      <c r="O9" s="623"/>
      <c r="P9" s="623"/>
      <c r="Q9" s="623"/>
    </row>
    <row r="10" spans="1:17" ht="15.75" customHeight="1" x14ac:dyDescent="0.25">
      <c r="A10" s="21" t="s">
        <v>17</v>
      </c>
      <c r="B10" s="108"/>
      <c r="C10" s="159">
        <f>('ISPs (RV)'!C10)/('ISPs (RV)'!C41)*100</f>
        <v>6.1944444444444446</v>
      </c>
      <c r="D10" s="159">
        <f>('ISPs (RV)'!D10)/('ISPs (RV)'!D41)*100</f>
        <v>9.0214285714285705</v>
      </c>
      <c r="E10" s="159">
        <f>('ISPs (RV)'!E10)/('ISPs (RV)'!E41)*100</f>
        <v>11.209677419354838</v>
      </c>
      <c r="F10" s="159">
        <f>('ISPs (RV)'!F10)/('ISPs (RV)'!F41)*100</f>
        <v>12.470588235294118</v>
      </c>
      <c r="G10" s="159">
        <f>('ISPs (RV)'!G10)/('ISPs (RV)'!G41)*100</f>
        <v>12.861111111111112</v>
      </c>
      <c r="H10" s="159">
        <f>('ISPs (RV)'!H10)/('ISPs (RV)'!H41)*100</f>
        <v>13.088524590163935</v>
      </c>
      <c r="I10" s="159">
        <f>('ISPs (RV)'!I10)/('ISPs (RV)'!I41)*100</f>
        <v>14.308641975308642</v>
      </c>
      <c r="J10" s="159">
        <f>('ISPs (RV)'!J10)/('ISPs (RV)'!J41)*100</f>
        <v>13.988764044943819</v>
      </c>
      <c r="K10" s="25"/>
      <c r="L10" s="623"/>
      <c r="M10" s="623"/>
      <c r="N10" s="623"/>
      <c r="O10" s="623"/>
      <c r="P10" s="623"/>
      <c r="Q10" s="623"/>
    </row>
    <row r="11" spans="1:17" ht="15.75" customHeight="1" x14ac:dyDescent="0.25">
      <c r="A11" s="21" t="s">
        <v>16</v>
      </c>
      <c r="B11" s="108"/>
      <c r="C11" s="159">
        <f>('ISPs (RV)'!C11)/('ISPs (RV)'!C41)*100</f>
        <v>5.4944444444444445</v>
      </c>
      <c r="D11" s="159">
        <f>('ISPs (RV)'!D11)/('ISPs (RV)'!D41)*100</f>
        <v>10.297452152246281</v>
      </c>
      <c r="E11" s="159">
        <f>('ISPs (RV)'!E11)/('ISPs (RV)'!E41)*100</f>
        <v>11.517783488625385</v>
      </c>
      <c r="F11" s="159">
        <f>('ISPs (RV)'!F11)/('ISPs (RV)'!F41)*100</f>
        <v>13.640195731492231</v>
      </c>
      <c r="G11" s="159">
        <f>('ISPs (RV)'!G11)/('ISPs (RV)'!G41)*100</f>
        <v>13.563389734531519</v>
      </c>
      <c r="H11" s="159">
        <f>('ISPs (RV)'!H11)/('ISPs (RV)'!H41)*100</f>
        <v>13.337556796757671</v>
      </c>
      <c r="I11" s="159">
        <f>('ISPs (RV)'!I11)/('ISPs (RV)'!I41)*100</f>
        <v>13.630942985888259</v>
      </c>
      <c r="J11" s="159">
        <f>('ISPs (RV)'!J11)/('ISPs (RV)'!J41)*100</f>
        <v>12.83820224719101</v>
      </c>
      <c r="K11" s="25"/>
      <c r="L11" s="623"/>
      <c r="M11" s="623"/>
      <c r="N11" s="623"/>
      <c r="O11" s="623"/>
      <c r="P11" s="623"/>
      <c r="Q11" s="623"/>
    </row>
    <row r="12" spans="1:17" ht="15.75" customHeight="1" x14ac:dyDescent="0.25">
      <c r="A12" s="21" t="s">
        <v>73</v>
      </c>
      <c r="B12" s="108"/>
      <c r="C12" s="159">
        <f>('ISPs (RV)'!C12)/('ISPs (RV)'!C41)*100</f>
        <v>0.76666666666666672</v>
      </c>
      <c r="D12" s="108" t="s">
        <v>74</v>
      </c>
      <c r="E12" s="108"/>
      <c r="F12" s="108"/>
      <c r="G12" s="108"/>
      <c r="H12" s="21"/>
      <c r="I12" s="21"/>
      <c r="J12" s="21"/>
      <c r="K12" s="25"/>
      <c r="L12" s="623"/>
      <c r="M12" s="623"/>
      <c r="N12" s="623"/>
      <c r="O12" s="623"/>
      <c r="P12" s="623"/>
      <c r="Q12" s="623"/>
    </row>
    <row r="13" spans="1:17" ht="15.75" customHeight="1" x14ac:dyDescent="0.25">
      <c r="A13" s="21" t="s">
        <v>154</v>
      </c>
      <c r="B13" s="108"/>
      <c r="C13" s="254"/>
      <c r="D13" s="159">
        <f>('ISPs (RV)'!D13)/('ISPs (RV)'!D41)*100</f>
        <v>5.2976190476190474</v>
      </c>
      <c r="E13" s="159">
        <f>('ISPs (RV)'!E13)/('ISPs (RV)'!E41)*100</f>
        <v>7.0661290322580648</v>
      </c>
      <c r="F13" s="159">
        <f>('ISPs (RV)'!F13)/('ISPs (RV)'!F41)*100</f>
        <v>9.4749999999999979</v>
      </c>
      <c r="G13" s="159">
        <f>('ISPs (RV)'!G13)/('ISPs (RV)'!G41)*100</f>
        <v>9.6972222222222229</v>
      </c>
      <c r="H13" s="159">
        <f>('ISPs (RV)'!H13)/('ISPs (RV)'!H41)*100</f>
        <v>10.131147540983607</v>
      </c>
      <c r="I13" s="159">
        <f>('ISPs (RV)'!I13)/('ISPs (RV)'!I41)*100</f>
        <v>10.103703703703705</v>
      </c>
      <c r="J13" s="159">
        <f>('ISPs (RV)'!J13)/('ISPs (RV)'!J41)*100</f>
        <v>9.7561797752808985</v>
      </c>
      <c r="K13" s="25"/>
      <c r="L13" s="623"/>
      <c r="M13" s="623"/>
      <c r="N13" s="623"/>
      <c r="O13" s="623"/>
      <c r="P13" s="623"/>
      <c r="Q13" s="623"/>
    </row>
    <row r="14" spans="1:17" ht="15.75" customHeight="1" x14ac:dyDescent="0.25">
      <c r="A14" s="21" t="s">
        <v>156</v>
      </c>
      <c r="B14" s="159">
        <f>('ISPs (RV)'!B14)/('ISPs (RV)'!B41)*100</f>
        <v>0.79497907949790791</v>
      </c>
      <c r="C14" s="159">
        <f>('ISPs (RV)'!C14)/('ISPs (RV)'!C41)*100</f>
        <v>3.3166666666666669</v>
      </c>
      <c r="D14" s="108" t="s">
        <v>90</v>
      </c>
      <c r="E14" s="108"/>
      <c r="F14" s="108"/>
      <c r="G14" s="108"/>
      <c r="H14" s="21"/>
      <c r="I14" s="21"/>
      <c r="J14" s="21"/>
      <c r="K14" s="25"/>
      <c r="L14" s="623"/>
      <c r="M14" s="623"/>
      <c r="N14" s="623"/>
      <c r="O14" s="623"/>
      <c r="P14" s="623"/>
      <c r="Q14" s="623"/>
    </row>
    <row r="15" spans="1:17" ht="15.75" customHeight="1" x14ac:dyDescent="0.25">
      <c r="A15" s="21" t="s">
        <v>11</v>
      </c>
      <c r="B15" s="159">
        <f>('ISPs (RV)'!B15)/('ISPs (RV)'!B41)*100</f>
        <v>7.0292887029288709</v>
      </c>
      <c r="C15" s="159">
        <f>('ISPs (RV)'!C15)/('ISPs (RV)'!C41)*100</f>
        <v>9.4448032063999996</v>
      </c>
      <c r="D15" s="159">
        <f>('ISPs (RV)'!D15)/('ISPs (RV)'!D41)*100</f>
        <v>8.9998215043386267</v>
      </c>
      <c r="E15" s="159">
        <f>('ISPs (RV)'!E15)/('ISPs (RV)'!E41)*100</f>
        <v>8.1551598942358545</v>
      </c>
      <c r="F15" s="159">
        <f>('ISPs (RV)'!F15)/('ISPs (RV)'!F41)*100</f>
        <v>8.4150161041465754</v>
      </c>
      <c r="G15" s="159">
        <f>('ISPs (RV)'!G15)/('ISPs (RV)'!G41)*100</f>
        <v>8.9440692140921421</v>
      </c>
      <c r="H15" s="159">
        <f>('ISPs (RV)'!H15)/('ISPs (RV)'!H41)*100</f>
        <v>9.4736002407954878</v>
      </c>
      <c r="I15" s="159">
        <f>('ISPs (RV)'!I15)/('ISPs (RV)'!I41)*100</f>
        <v>9.8184164609053486</v>
      </c>
      <c r="J15" s="159">
        <f>('ISPs (RV)'!J15)/('ISPs (RV)'!J41)*100</f>
        <v>9.8901235955056173</v>
      </c>
      <c r="K15" s="25"/>
      <c r="L15" s="623"/>
      <c r="M15" s="623"/>
      <c r="N15" s="623"/>
      <c r="O15" s="623"/>
      <c r="P15" s="623"/>
      <c r="Q15" s="623"/>
    </row>
    <row r="16" spans="1:17" ht="15.75" customHeight="1" x14ac:dyDescent="0.25">
      <c r="A16" s="21" t="s">
        <v>12</v>
      </c>
      <c r="B16" s="159">
        <f>('ISPs (RV)'!B16)/('ISPs (RV)'!B41)*100</f>
        <v>2.7196652719665275</v>
      </c>
      <c r="C16" s="108" t="s">
        <v>13</v>
      </c>
      <c r="D16" s="108"/>
      <c r="E16" s="108"/>
      <c r="F16" s="108"/>
      <c r="G16" s="108"/>
      <c r="H16" s="21"/>
      <c r="I16" s="21"/>
      <c r="J16" s="21"/>
      <c r="K16" s="25"/>
      <c r="L16" s="623"/>
      <c r="M16" s="623"/>
      <c r="N16" s="623"/>
      <c r="O16" s="623"/>
      <c r="P16" s="623"/>
      <c r="Q16" s="623"/>
    </row>
    <row r="17" spans="1:17" ht="15.75" customHeight="1" x14ac:dyDescent="0.25">
      <c r="A17" s="21" t="s">
        <v>20</v>
      </c>
      <c r="B17" s="159">
        <f>('ISPs (RV)'!B17)/('ISPs (RV)'!B41)*100</f>
        <v>0.10375983263598326</v>
      </c>
      <c r="C17" s="159">
        <f>('ISPs (RV)'!C17)/('ISPs (RV)'!C41)*100</f>
        <v>1.6717834086374079</v>
      </c>
      <c r="D17" s="159">
        <f>('ISPs (RV)'!D17)/('ISPs (RV)'!D41)*100</f>
        <v>2.4167500037175884</v>
      </c>
      <c r="E17" s="159">
        <f>('ISPs (RV)'!E17)/('ISPs (RV)'!E41)*100</f>
        <v>3.4823899909506082</v>
      </c>
      <c r="F17" s="159">
        <f>('ISPs (RV)'!F17)/('ISPs (RV)'!F41)*100</f>
        <v>4.1829886687984041</v>
      </c>
      <c r="G17" s="159">
        <f>('ISPs (RV)'!G17)/('ISPs (RV)'!G41)*100</f>
        <v>4.2744044200000006</v>
      </c>
      <c r="H17" s="159">
        <f>('ISPs (RV)'!H17)/('ISPs (RV)'!H41)*100</f>
        <v>4.5266099488524576</v>
      </c>
      <c r="I17" s="159">
        <f>('ISPs (RV)'!I17)/('ISPs (RV)'!I41)*100</f>
        <v>4.6048650370370376</v>
      </c>
      <c r="J17" s="159">
        <f>('ISPs (RV)'!J17)/('ISPs (RV)'!J41)*100</f>
        <v>4.4426966292134829</v>
      </c>
      <c r="K17" s="25"/>
      <c r="L17" s="623"/>
      <c r="M17" s="623"/>
      <c r="N17" s="623"/>
      <c r="O17" s="623"/>
      <c r="P17" s="623"/>
      <c r="Q17" s="623"/>
    </row>
    <row r="18" spans="1:17" ht="15.75" customHeight="1" x14ac:dyDescent="0.25">
      <c r="A18" s="21" t="s">
        <v>170</v>
      </c>
      <c r="B18" s="108"/>
      <c r="C18" s="159">
        <f>('ISPs (RV)'!C18)/('ISPs (RV)'!C41)*100</f>
        <v>7.7777777777777779E-2</v>
      </c>
      <c r="D18" s="159">
        <f>('ISPs (RV)'!D18)/('ISPs (RV)'!D41)*100</f>
        <v>0.49285714285714277</v>
      </c>
      <c r="E18" s="159">
        <f>('ISPs (RV)'!E18)/('ISPs (RV)'!E41)*100</f>
        <v>2.3585806451612905</v>
      </c>
      <c r="F18" s="159">
        <f>('ISPs (RV)'!F18)/('ISPs (RV)'!F41)*100</f>
        <v>2.5566449999999996</v>
      </c>
      <c r="G18" s="159">
        <f>('ISPs (RV)'!G18)/('ISPs (RV)'!G41)*100</f>
        <v>2.3677321388888886</v>
      </c>
      <c r="H18" s="159">
        <f>('ISPs (RV)'!H18)/('ISPs (RV)'!H41)*100</f>
        <v>2.5127868852459012</v>
      </c>
      <c r="I18" s="159">
        <f>('ISPs (RV)'!I18)/('ISPs (RV)'!I41)*100</f>
        <v>2.4975308641975311</v>
      </c>
      <c r="J18" s="159">
        <f>('ISPs (RV)'!J18)/('ISPs (RV)'!J41)*100</f>
        <v>2.3325842696629211</v>
      </c>
      <c r="K18" s="25"/>
      <c r="L18" s="623"/>
      <c r="M18" s="623"/>
      <c r="N18" s="623"/>
      <c r="O18" s="623"/>
      <c r="P18" s="623"/>
      <c r="Q18" s="623"/>
    </row>
    <row r="19" spans="1:17" ht="15.75" customHeight="1" x14ac:dyDescent="0.25">
      <c r="A19" s="21" t="s">
        <v>19</v>
      </c>
      <c r="B19" s="159">
        <f>('ISPs (RV)'!B19)/('ISPs (RV)'!B41)*100</f>
        <v>0.7531380753138075</v>
      </c>
      <c r="C19" s="159">
        <f>('ISPs (RV)'!C19)/('ISPs (RV)'!C41)*100</f>
        <v>1.3773799788519547</v>
      </c>
      <c r="D19" s="159">
        <f>('ISPs (RV)'!D19)/('ISPs (RV)'!D41)*100</f>
        <v>1.2170744723872189</v>
      </c>
      <c r="E19" s="159">
        <f>('ISPs (RV)'!E19)/('ISPs (RV)'!E41)*100</f>
        <v>1.4486241372181135</v>
      </c>
      <c r="F19" s="159">
        <f>('ISPs (RV)'!F19)/('ISPs (RV)'!F41)*100</f>
        <v>1.6980075258115777</v>
      </c>
      <c r="G19" s="159">
        <f>('ISPs (RV)'!G19)/('ISPs (RV)'!G41)*100</f>
        <v>1.7319680724307298</v>
      </c>
      <c r="H19" s="159">
        <f>('ISPs (RV)'!H19)/('ISPs (RV)'!H41)*100</f>
        <v>1.7833929841030507</v>
      </c>
      <c r="I19" s="159">
        <f>('ISPs (RV)'!I19)/('ISPs (RV)'!I41)*100</f>
        <v>1.7278997820741919</v>
      </c>
      <c r="J19" s="159">
        <f>('ISPs (RV)'!J19)/('ISPs (RV)'!J41)*100</f>
        <v>1.5882338876404494</v>
      </c>
      <c r="K19" s="25"/>
      <c r="L19" s="623"/>
      <c r="M19" s="623"/>
      <c r="N19" s="623"/>
      <c r="O19" s="623"/>
      <c r="P19" s="623"/>
      <c r="Q19" s="623"/>
    </row>
    <row r="20" spans="1:17" ht="15.75" customHeight="1" x14ac:dyDescent="0.25">
      <c r="A20" s="21" t="s">
        <v>15</v>
      </c>
      <c r="B20" s="159">
        <f>('ISPs (RV)'!B20)/('ISPs (RV)'!B41)*100</f>
        <v>0.58577405857740583</v>
      </c>
      <c r="C20" s="159">
        <f>('ISPs (RV)'!C20)/('ISPs (RV)'!C41)*100</f>
        <v>1.1555555555555557</v>
      </c>
      <c r="D20" s="159">
        <f>('ISPs (RV)'!D20)/('ISPs (RV)'!D41)*100</f>
        <v>1.1190476190476191</v>
      </c>
      <c r="E20" s="159">
        <f>('ISPs (RV)'!E20)/('ISPs (RV)'!E41)*100</f>
        <v>1.3693548387096774</v>
      </c>
      <c r="F20" s="159">
        <f>('ISPs (RV)'!F20)/('ISPs (RV)'!F41)*100</f>
        <v>1.411764705882353</v>
      </c>
      <c r="G20" s="159">
        <f>('ISPs (RV)'!G20)/('ISPs (RV)'!G41)*100</f>
        <v>1.4236111111111112</v>
      </c>
      <c r="H20" s="159">
        <f>('ISPs (RV)'!H20)/('ISPs (RV)'!H41)*100</f>
        <v>1.4439344262295082</v>
      </c>
      <c r="I20" s="159">
        <f>('ISPs (RV)'!I20)/('ISPs (RV)'!I41)*100</f>
        <v>1.4530864197530864</v>
      </c>
      <c r="J20" s="159">
        <f>('ISPs (RV)'!J20)/('ISPs (RV)'!J41)*100</f>
        <v>1.4438202247191012</v>
      </c>
      <c r="K20" s="25"/>
      <c r="L20" s="623"/>
      <c r="M20" s="623"/>
      <c r="N20" s="623"/>
      <c r="O20" s="623"/>
      <c r="P20" s="623"/>
      <c r="Q20" s="623"/>
    </row>
    <row r="21" spans="1:17" ht="15.75" customHeight="1" x14ac:dyDescent="0.25">
      <c r="A21" s="21" t="s">
        <v>235</v>
      </c>
      <c r="B21" s="21"/>
      <c r="C21" s="159">
        <f>('ISPs (RV)'!C21)/('ISPs (RV)'!C41)*100</f>
        <v>0.66666666666666674</v>
      </c>
      <c r="D21" s="159">
        <f>('ISPs (RV)'!D21)/('ISPs (RV)'!D41)*100</f>
        <v>0.4285714285714286</v>
      </c>
      <c r="E21" s="159">
        <f>('ISPs (RV)'!E21)/('ISPs (RV)'!E41)*100</f>
        <v>0.72580645161290325</v>
      </c>
      <c r="F21" s="159">
        <f>('ISPs (RV)'!F21)/('ISPs (RV)'!F41)*100</f>
        <v>0.99264705882352933</v>
      </c>
      <c r="G21" s="159">
        <f>('ISPs (RV)'!G21)/('ISPs (RV)'!G41)*100</f>
        <v>1.1458333333333333</v>
      </c>
      <c r="H21" s="159">
        <f>('ISPs (RV)'!H21)/('ISPs (RV)'!H41)*100</f>
        <v>1.2786885245901638</v>
      </c>
      <c r="I21" s="159">
        <f>('ISPs (RV)'!I21)/('ISPs (RV)'!I41)*100</f>
        <v>1.3888888888888888</v>
      </c>
      <c r="J21" s="159">
        <f>('ISPs (RV)'!J21)/('ISPs (RV)'!J41)*100</f>
        <v>1.5168539325842696</v>
      </c>
      <c r="K21" s="25"/>
      <c r="L21" s="25"/>
      <c r="M21" s="25"/>
      <c r="N21" s="25"/>
      <c r="O21" s="25"/>
      <c r="P21" s="25"/>
      <c r="Q21" s="25"/>
    </row>
    <row r="22" spans="1:17" ht="15.75" customHeight="1" x14ac:dyDescent="0.25">
      <c r="A22" s="21" t="s">
        <v>236</v>
      </c>
      <c r="B22" s="108"/>
      <c r="C22" s="108"/>
      <c r="D22" s="108"/>
      <c r="E22" s="108"/>
      <c r="F22" s="108"/>
      <c r="G22" s="159">
        <f>('ISPs (RV)'!G22)/('ISPs (RV)'!G41)*100</f>
        <v>0.8</v>
      </c>
      <c r="H22" s="159">
        <f>('ISPs (RV)'!H22)/('ISPs (RV)'!H41)*100</f>
        <v>0.94426229508196724</v>
      </c>
      <c r="I22" s="159">
        <f>('ISPs (RV)'!I22)/('ISPs (RV)'!I41)*100</f>
        <v>1.2296296296296294</v>
      </c>
      <c r="J22" s="159">
        <f>('ISPs (RV)'!J22)/('ISPs (RV)'!J41)*100</f>
        <v>1.3078651685393259</v>
      </c>
      <c r="K22" s="25"/>
      <c r="L22" s="25"/>
      <c r="M22" s="25"/>
      <c r="N22" s="25"/>
      <c r="O22" s="25"/>
      <c r="P22" s="25"/>
      <c r="Q22" s="25"/>
    </row>
    <row r="23" spans="1:17" ht="15.75" customHeight="1" x14ac:dyDescent="0.25">
      <c r="A23" s="21" t="s">
        <v>22</v>
      </c>
      <c r="B23" s="108"/>
      <c r="C23" s="159">
        <f>('ISPs (RV)'!C23)/('ISPs (RV)'!C41)*100</f>
        <v>1.6555555555555557</v>
      </c>
      <c r="D23" s="159">
        <f>('ISPs (RV)'!D23)/('ISPs (RV)'!D41)*100</f>
        <v>1.2619047619047619</v>
      </c>
      <c r="E23" s="159">
        <f>('ISPs (RV)'!E23)/('ISPs (RV)'!E41)*100</f>
        <v>0.74354838709677418</v>
      </c>
      <c r="F23" s="159">
        <f>('ISPs (RV)'!F23)/('ISPs (RV)'!F41)*100</f>
        <v>0.58529411764705874</v>
      </c>
      <c r="G23" s="159">
        <f>('ISPs (RV)'!G23)/('ISPs (RV)'!G41)*100</f>
        <v>0.51388888888888895</v>
      </c>
      <c r="H23" s="159">
        <f>('ISPs (RV)'!H23)/('ISPs (RV)'!H41)*100</f>
        <v>0.54819672131147545</v>
      </c>
      <c r="I23" s="159">
        <f>('ISPs (RV)'!I23)/('ISPs (RV)'!I41)*100</f>
        <v>0.63950617283950617</v>
      </c>
      <c r="J23" s="159">
        <f>('ISPs (RV)'!J23)/('ISPs (RV)'!J41)*100</f>
        <v>0.58202247191011225</v>
      </c>
      <c r="K23" s="25"/>
      <c r="L23" s="25"/>
      <c r="M23" s="25"/>
      <c r="N23" s="25"/>
      <c r="O23" s="25"/>
      <c r="P23" s="25"/>
      <c r="Q23" s="25"/>
    </row>
    <row r="24" spans="1:17" ht="15.75" customHeight="1" x14ac:dyDescent="0.25">
      <c r="A24" s="21" t="s">
        <v>239</v>
      </c>
      <c r="B24" s="108"/>
      <c r="C24" s="108"/>
      <c r="D24" s="159">
        <f>('ISPs (RV)'!D24)/('ISPs (RV)'!D41)*100</f>
        <v>0.14285714285714285</v>
      </c>
      <c r="E24" s="159">
        <f>('ISPs (RV)'!E24)/('ISPs (RV)'!E41)*100</f>
        <v>0.14516129032258066</v>
      </c>
      <c r="F24" s="159">
        <f>('ISPs (RV)'!F24)/('ISPs (RV)'!F41)*100</f>
        <v>0.17967058823529411</v>
      </c>
      <c r="G24" s="159">
        <f>('ISPs (RV)'!G24)/('ISPs (RV)'!G41)*100</f>
        <v>0.17983333333333335</v>
      </c>
      <c r="H24" s="159">
        <f>('ISPs (RV)'!H24)/('ISPs (RV)'!H41)*100</f>
        <v>0.18098360655737705</v>
      </c>
      <c r="I24" s="159">
        <f>('ISPs (RV)'!I24)/('ISPs (RV)'!I41)*100</f>
        <v>0.18116543209876546</v>
      </c>
      <c r="J24" s="159">
        <f>('ISPs (RV)'!J24)/('ISPs (RV)'!J41)*100</f>
        <v>0.18268521348314609</v>
      </c>
      <c r="K24" s="25"/>
      <c r="L24" s="25"/>
      <c r="M24" s="25"/>
      <c r="N24" s="25"/>
      <c r="O24" s="25"/>
      <c r="P24" s="25"/>
      <c r="Q24" s="25"/>
    </row>
    <row r="25" spans="1:17" ht="15.75" customHeight="1" x14ac:dyDescent="0.25">
      <c r="A25" s="21" t="s">
        <v>240</v>
      </c>
      <c r="B25" s="108"/>
      <c r="C25" s="108"/>
      <c r="D25" s="159">
        <f>('ISPs (RV)'!D25)/('ISPs (RV)'!D41)*100</f>
        <v>6.0000000000000005E-2</v>
      </c>
      <c r="E25" s="159">
        <f>('ISPs (RV)'!E25)/('ISPs (RV)'!E41)*100</f>
        <v>6.0290322580645157E-2</v>
      </c>
      <c r="F25" s="159">
        <f>('ISPs (RV)'!F25)/('ISPs (RV)'!F41)*100</f>
        <v>7.4735294117647053E-2</v>
      </c>
      <c r="G25" s="159">
        <f>('ISPs (RV)'!G25)/('ISPs (RV)'!G41)*100</f>
        <v>7.8750000000000001E-2</v>
      </c>
      <c r="H25" s="159">
        <f>('ISPs (RV)'!H25)/('ISPs (RV)'!H41)*100</f>
        <v>6.9954098360655734E-2</v>
      </c>
      <c r="I25" s="159">
        <f>('ISPs (RV)'!I25)/('ISPs (RV)'!I41)*100</f>
        <v>6.4814814814814811E-2</v>
      </c>
      <c r="J25" s="159">
        <f>('ISPs (RV)'!J25)/('ISPs (RV)'!J41)*100</f>
        <v>8.0898876404494377E-2</v>
      </c>
      <c r="K25" s="25"/>
      <c r="L25" s="25"/>
      <c r="M25" s="25"/>
      <c r="N25" s="25"/>
      <c r="O25" s="25"/>
      <c r="P25" s="25"/>
      <c r="Q25" s="25"/>
    </row>
    <row r="26" spans="1:17" ht="15.75" customHeight="1" x14ac:dyDescent="0.25">
      <c r="A26" s="21" t="s">
        <v>241</v>
      </c>
      <c r="B26" s="159">
        <f>('ISPs (RV)'!B26)/('ISPs (RV)'!B41)*100</f>
        <v>12.05020920502092</v>
      </c>
      <c r="C26" s="159">
        <f>('ISPs (RV)'!C26)/('ISPs (RV)'!C41)*100</f>
        <v>3.833333333333333</v>
      </c>
      <c r="D26" s="159">
        <f>('ISPs (RV)'!D26)/('ISPs (RV)'!D41)*100</f>
        <v>2.8571428571428572</v>
      </c>
      <c r="E26" s="108"/>
      <c r="F26" s="21"/>
      <c r="G26" s="108"/>
      <c r="H26" s="21"/>
      <c r="I26" s="21"/>
      <c r="J26" s="21"/>
      <c r="K26" s="25"/>
      <c r="L26" s="25"/>
      <c r="M26" s="25"/>
      <c r="N26" s="25"/>
      <c r="O26" s="25"/>
      <c r="P26" s="25"/>
      <c r="Q26" s="25"/>
    </row>
    <row r="27" spans="1:17" ht="15.75" customHeight="1" x14ac:dyDescent="0.25">
      <c r="A27" s="21" t="s">
        <v>242</v>
      </c>
      <c r="B27" s="159">
        <f>('ISPs (RV)'!B27)/('ISPs (RV)'!B41)*100</f>
        <v>0.20920502092050208</v>
      </c>
      <c r="C27" s="159">
        <f>('ISPs (RV)'!C27)/('ISPs (RV)'!C41)*100</f>
        <v>0.1388888888888889</v>
      </c>
      <c r="D27" s="159">
        <f>('ISPs (RV)'!D27)/('ISPs (RV)'!D41)*100</f>
        <v>0.16666666666666669</v>
      </c>
      <c r="E27" s="159">
        <f>('ISPs (RV)'!E27)/('ISPs (RV)'!E41)*100</f>
        <v>6.9354838709677416E-2</v>
      </c>
      <c r="F27" s="108"/>
      <c r="G27" s="108"/>
      <c r="H27" s="21"/>
      <c r="I27" s="21"/>
      <c r="J27" s="21"/>
      <c r="K27" s="25"/>
      <c r="L27" s="25"/>
      <c r="M27" s="25"/>
      <c r="N27" s="25"/>
      <c r="O27" s="25"/>
      <c r="P27" s="25"/>
      <c r="Q27" s="25"/>
    </row>
    <row r="28" spans="1:17" ht="15.75" customHeight="1" x14ac:dyDescent="0.25">
      <c r="A28" s="21" t="s">
        <v>243</v>
      </c>
      <c r="B28" s="108"/>
      <c r="C28" s="159">
        <f>('ISPs (RV)'!C28)/('ISPs (RV)'!C41)*100</f>
        <v>3.3333333333333335</v>
      </c>
      <c r="D28" s="159">
        <f>('ISPs (RV)'!D28)/('ISPs (RV)'!D41)*100</f>
        <v>0.34285714285714286</v>
      </c>
      <c r="E28" s="108"/>
      <c r="F28" s="108"/>
      <c r="G28" s="108"/>
      <c r="H28" s="21"/>
      <c r="I28" s="21"/>
      <c r="J28" s="21"/>
      <c r="K28" s="25"/>
      <c r="L28" s="25"/>
      <c r="M28" s="25"/>
      <c r="N28" s="25"/>
      <c r="O28" s="25"/>
      <c r="P28" s="25"/>
      <c r="Q28" s="25"/>
    </row>
    <row r="29" spans="1:17" ht="15.75" customHeight="1" x14ac:dyDescent="0.25">
      <c r="A29" s="21" t="s">
        <v>244</v>
      </c>
      <c r="B29" s="108"/>
      <c r="C29" s="159">
        <f>('ISPs (RV)'!C29)/('ISPs (RV)'!C41)*100</f>
        <v>2.2111111111111108</v>
      </c>
      <c r="D29" s="159">
        <f>('ISPs (RV)'!D29)/('ISPs (RV)'!D41)*100</f>
        <v>0.580952380952381</v>
      </c>
      <c r="E29" s="159">
        <f>('ISPs (RV)'!E29)/('ISPs (RV)'!E41)*100</f>
        <v>0.12580645161290321</v>
      </c>
      <c r="F29" s="108"/>
      <c r="G29" s="108"/>
      <c r="H29" s="21"/>
      <c r="I29" s="21"/>
      <c r="J29" s="21"/>
      <c r="K29" s="25"/>
      <c r="L29" s="25"/>
      <c r="M29" s="25"/>
      <c r="N29" s="25"/>
      <c r="O29" s="25"/>
      <c r="P29" s="25"/>
      <c r="Q29" s="25"/>
    </row>
    <row r="30" spans="1:17" ht="15.75" customHeight="1" x14ac:dyDescent="0.25">
      <c r="A30" s="21" t="s">
        <v>245</v>
      </c>
      <c r="B30" s="159">
        <f>('ISPs (RV)'!B30)/('ISPs (RV)'!B41)*100</f>
        <v>6.1506276150627617</v>
      </c>
      <c r="C30" s="108" t="s">
        <v>246</v>
      </c>
      <c r="D30" s="108"/>
      <c r="E30" s="108"/>
      <c r="F30" s="108"/>
      <c r="G30" s="108"/>
      <c r="H30" s="21"/>
      <c r="I30" s="21"/>
      <c r="J30" s="21"/>
      <c r="K30" s="25"/>
      <c r="L30" s="25"/>
      <c r="M30" s="25"/>
      <c r="N30" s="25"/>
      <c r="O30" s="25"/>
      <c r="P30" s="25"/>
      <c r="Q30" s="25"/>
    </row>
    <row r="31" spans="1:17" ht="15.75" customHeight="1" x14ac:dyDescent="0.25">
      <c r="A31" s="21" t="s">
        <v>247</v>
      </c>
      <c r="B31" s="108"/>
      <c r="C31" s="108"/>
      <c r="D31" s="108"/>
      <c r="E31" s="159">
        <f>('ISPs (RV)'!E31)/('ISPs (RV)'!E41)*100</f>
        <v>1.2903225806451613E-2</v>
      </c>
      <c r="F31" s="108"/>
      <c r="G31" s="108"/>
      <c r="H31" s="21"/>
      <c r="I31" s="21"/>
      <c r="J31" s="21"/>
      <c r="K31" s="25"/>
      <c r="L31" s="25"/>
      <c r="M31" s="25"/>
      <c r="N31" s="25"/>
      <c r="O31" s="25"/>
      <c r="P31" s="25"/>
      <c r="Q31" s="25"/>
    </row>
    <row r="32" spans="1:17" ht="15.75" customHeight="1" x14ac:dyDescent="0.25">
      <c r="A32" s="21" t="s">
        <v>248</v>
      </c>
      <c r="B32" s="108"/>
      <c r="C32" s="159">
        <f>('ISPs (RV)'!C32)/('ISPs (RV)'!C41)*100</f>
        <v>2.5833333333333335</v>
      </c>
      <c r="D32" s="159">
        <f>('ISPs (RV)'!D32)/('ISPs (RV)'!D41)*100</f>
        <v>3.092857142857143</v>
      </c>
      <c r="E32" s="108"/>
      <c r="F32" s="108"/>
      <c r="G32" s="108"/>
      <c r="H32" s="21"/>
      <c r="I32" s="21"/>
      <c r="J32" s="21"/>
      <c r="K32" s="25"/>
      <c r="L32" s="25"/>
      <c r="M32" s="25"/>
      <c r="N32" s="25"/>
      <c r="O32" s="25"/>
      <c r="P32" s="25"/>
      <c r="Q32" s="25"/>
    </row>
    <row r="33" spans="1:17" ht="15.75" customHeight="1" x14ac:dyDescent="0.25">
      <c r="A33" s="21" t="s">
        <v>249</v>
      </c>
      <c r="B33" s="108"/>
      <c r="C33" s="159">
        <f>('ISPs (RV)'!C33)/('ISPs (RV)'!C41)*100</f>
        <v>3.3722222222222222</v>
      </c>
      <c r="D33" s="108" t="s">
        <v>250</v>
      </c>
      <c r="E33" s="108"/>
      <c r="F33" s="108"/>
      <c r="G33" s="108"/>
      <c r="H33" s="21"/>
      <c r="I33" s="21"/>
      <c r="J33" s="21"/>
      <c r="K33" s="25"/>
      <c r="L33" s="25"/>
      <c r="M33" s="25"/>
      <c r="N33" s="25"/>
      <c r="O33" s="25"/>
      <c r="P33" s="25"/>
      <c r="Q33" s="25"/>
    </row>
    <row r="34" spans="1:17" ht="15.75" customHeight="1" x14ac:dyDescent="0.25">
      <c r="A34" s="21" t="s">
        <v>252</v>
      </c>
      <c r="B34" s="159">
        <f>('ISPs (RV)'!B34)/('ISPs (RV)'!B41)*100</f>
        <v>7.2384937238493725</v>
      </c>
      <c r="C34" s="108" t="s">
        <v>253</v>
      </c>
      <c r="D34" s="108"/>
      <c r="E34" s="108"/>
      <c r="F34" s="108"/>
      <c r="G34" s="108"/>
      <c r="H34" s="21"/>
      <c r="I34" s="21"/>
      <c r="J34" s="21"/>
      <c r="K34" s="25"/>
      <c r="L34" s="25"/>
      <c r="M34" s="25"/>
      <c r="N34" s="25"/>
      <c r="O34" s="25"/>
      <c r="P34" s="25"/>
      <c r="Q34" s="25"/>
    </row>
    <row r="35" spans="1:17" ht="15.75" customHeight="1" x14ac:dyDescent="0.25">
      <c r="A35" s="21" t="s">
        <v>578</v>
      </c>
      <c r="B35" s="159">
        <f>('ISPs (RV)'!B35)/('ISPs (RV)'!B41)*100</f>
        <v>0.33472803347280339</v>
      </c>
      <c r="C35" s="159">
        <f>('ISPs (RV)'!C35)/('ISPs (RV)'!C41)*100</f>
        <v>0.35555555555555557</v>
      </c>
      <c r="D35" s="108"/>
      <c r="E35" s="108"/>
      <c r="F35" s="108"/>
      <c r="G35" s="108"/>
      <c r="H35" s="21"/>
      <c r="I35" s="21"/>
      <c r="J35" s="21"/>
      <c r="K35" s="25"/>
      <c r="L35" s="25"/>
      <c r="M35" s="25"/>
      <c r="N35" s="25"/>
      <c r="O35" s="25"/>
      <c r="P35" s="25"/>
      <c r="Q35" s="25"/>
    </row>
    <row r="36" spans="1:17" ht="15.75" customHeight="1" x14ac:dyDescent="0.25">
      <c r="A36" s="21" t="s">
        <v>255</v>
      </c>
      <c r="B36" s="108"/>
      <c r="C36" s="159">
        <f>('ISPs (RV)'!C36)/('ISPs (RV)'!C41)*100</f>
        <v>2.7777777777777776E-2</v>
      </c>
      <c r="D36" s="108" t="s">
        <v>256</v>
      </c>
      <c r="E36" s="108"/>
      <c r="F36" s="108"/>
      <c r="G36" s="108"/>
      <c r="H36" s="21"/>
      <c r="I36" s="21"/>
      <c r="J36" s="21"/>
      <c r="K36" s="25"/>
      <c r="L36" s="25"/>
      <c r="M36" s="25"/>
      <c r="N36" s="25"/>
      <c r="O36" s="25"/>
      <c r="P36" s="25"/>
      <c r="Q36" s="25"/>
    </row>
    <row r="37" spans="1:17" ht="15.75" customHeight="1" x14ac:dyDescent="0.25">
      <c r="A37" s="21" t="s">
        <v>257</v>
      </c>
      <c r="B37" s="159">
        <f>('ISPs (RV)'!B37)/('ISPs (RV)'!B41)*100</f>
        <v>6.2761506276150625</v>
      </c>
      <c r="C37" s="108" t="s">
        <v>258</v>
      </c>
      <c r="D37" s="108"/>
      <c r="E37" s="108"/>
      <c r="F37" s="108"/>
      <c r="G37" s="108"/>
      <c r="H37" s="21"/>
      <c r="I37" s="21"/>
      <c r="J37" s="21"/>
      <c r="K37" s="25"/>
      <c r="L37" s="25"/>
      <c r="M37" s="25"/>
      <c r="N37" s="25"/>
      <c r="O37" s="25"/>
      <c r="P37" s="25"/>
      <c r="Q37" s="25"/>
    </row>
    <row r="38" spans="1:17" ht="15.75" customHeight="1" x14ac:dyDescent="0.25">
      <c r="A38" s="21"/>
      <c r="B38" s="108"/>
      <c r="C38" s="108"/>
      <c r="D38" s="108"/>
      <c r="E38" s="108"/>
      <c r="F38" s="108"/>
      <c r="G38" s="108"/>
      <c r="H38" s="21"/>
      <c r="I38" s="21"/>
      <c r="J38" s="21"/>
      <c r="K38" s="25"/>
      <c r="L38" s="25"/>
      <c r="M38" s="25"/>
      <c r="N38" s="25"/>
      <c r="O38" s="25"/>
      <c r="P38" s="25"/>
      <c r="Q38" s="25"/>
    </row>
    <row r="39" spans="1:17" ht="15.75" customHeight="1" x14ac:dyDescent="0.25">
      <c r="A39" s="21"/>
      <c r="B39" s="108"/>
      <c r="C39" s="108"/>
      <c r="D39" s="108"/>
      <c r="E39" s="108"/>
      <c r="F39" s="108"/>
      <c r="G39" s="108"/>
      <c r="H39" s="21"/>
      <c r="I39" s="21"/>
      <c r="J39" s="21"/>
      <c r="K39" s="25"/>
      <c r="L39" s="25"/>
      <c r="M39" s="25"/>
      <c r="N39" s="25"/>
      <c r="O39" s="25"/>
      <c r="P39" s="25"/>
      <c r="Q39" s="25"/>
    </row>
    <row r="40" spans="1:17" ht="15.75" customHeight="1" x14ac:dyDescent="0.25">
      <c r="A40" s="21"/>
      <c r="B40" s="108"/>
      <c r="C40" s="108"/>
      <c r="D40" s="108"/>
      <c r="E40" s="108"/>
      <c r="F40" s="108"/>
      <c r="G40" s="108"/>
      <c r="H40" s="21"/>
      <c r="I40" s="21"/>
      <c r="J40" s="21"/>
      <c r="K40" s="25"/>
      <c r="L40" s="25"/>
      <c r="M40" s="25"/>
      <c r="N40" s="25"/>
      <c r="O40" s="25"/>
      <c r="P40" s="25"/>
      <c r="Q40" s="25"/>
    </row>
    <row r="41" spans="1:17" ht="15.75" customHeight="1" x14ac:dyDescent="0.25">
      <c r="A41" s="56" t="s">
        <v>41</v>
      </c>
      <c r="B41" s="364">
        <f>'ISPs (RV)'!B41</f>
        <v>239</v>
      </c>
      <c r="C41" s="364">
        <f>'ISPs (RV)'!C41</f>
        <v>1800</v>
      </c>
      <c r="D41" s="364">
        <f>'ISPs (RV)'!D41</f>
        <v>4200</v>
      </c>
      <c r="E41" s="364">
        <f>'ISPs (RV)'!E41</f>
        <v>6200</v>
      </c>
      <c r="F41" s="364">
        <f>'ISPs (RV)'!F41</f>
        <v>6800</v>
      </c>
      <c r="G41" s="364">
        <f>'ISPs (RV)'!G41</f>
        <v>7200</v>
      </c>
      <c r="H41" s="364">
        <f>'ISPs (RV)'!H41</f>
        <v>7625</v>
      </c>
      <c r="I41" s="364">
        <f>'ISPs (RV)'!I41</f>
        <v>8100</v>
      </c>
      <c r="J41" s="364">
        <f>'ISPs (RV)'!J41</f>
        <v>8900</v>
      </c>
      <c r="K41" s="56"/>
      <c r="L41" s="56"/>
      <c r="M41" s="56"/>
      <c r="N41" s="56"/>
      <c r="O41" s="56"/>
      <c r="P41" s="56"/>
      <c r="Q41" s="56"/>
    </row>
    <row r="42" spans="1:17" ht="15.75" customHeight="1" x14ac:dyDescent="0.25">
      <c r="A42" s="56" t="s">
        <v>42</v>
      </c>
      <c r="B42" s="58">
        <f>SUM(B3+B15+B26+B34)</f>
        <v>57.94979079497908</v>
      </c>
      <c r="C42" s="58">
        <f t="shared" ref="C42:E42" si="0">SUM(C3+C10+C11+C15)</f>
        <v>38.711469873066662</v>
      </c>
      <c r="D42" s="58">
        <f t="shared" si="0"/>
        <v>50.71394032325157</v>
      </c>
      <c r="E42" s="58">
        <f t="shared" si="0"/>
        <v>51.170725978313371</v>
      </c>
      <c r="F42" s="58">
        <f t="shared" ref="F42:J42" si="1">SUM(F3+F10+F11+F13)</f>
        <v>57.740383031395794</v>
      </c>
      <c r="G42" s="58">
        <f t="shared" si="1"/>
        <v>58.488443355127721</v>
      </c>
      <c r="H42" s="58">
        <f t="shared" si="1"/>
        <v>58.817756078786914</v>
      </c>
      <c r="I42" s="58">
        <f t="shared" si="1"/>
        <v>60.531131114810492</v>
      </c>
      <c r="J42" s="58">
        <f t="shared" si="1"/>
        <v>58.688764044943824</v>
      </c>
      <c r="K42" s="25"/>
      <c r="L42" s="25"/>
      <c r="M42" s="25"/>
      <c r="N42" s="25"/>
      <c r="O42" s="25"/>
      <c r="P42" s="25"/>
      <c r="Q42" s="25"/>
    </row>
    <row r="43" spans="1:17" ht="15.75" customHeight="1" x14ac:dyDescent="0.25">
      <c r="A43" s="56" t="s">
        <v>43</v>
      </c>
      <c r="B43" s="58">
        <f t="shared" ref="B43:J43" si="2">SUMSQ(B3,B6:B37)</f>
        <v>1339.8349988719031</v>
      </c>
      <c r="C43" s="58">
        <f t="shared" si="2"/>
        <v>536.43594174459326</v>
      </c>
      <c r="D43" s="58">
        <f t="shared" si="2"/>
        <v>826.86101525214815</v>
      </c>
      <c r="E43" s="58">
        <f t="shared" si="2"/>
        <v>809.14898543085371</v>
      </c>
      <c r="F43" s="58">
        <f t="shared" si="2"/>
        <v>1023.2608125481307</v>
      </c>
      <c r="G43" s="58">
        <f t="shared" si="2"/>
        <v>1054.8350174804493</v>
      </c>
      <c r="H43" s="58">
        <f t="shared" si="2"/>
        <v>1072.0547949433039</v>
      </c>
      <c r="I43" s="58">
        <f t="shared" si="2"/>
        <v>1131.1555618640405</v>
      </c>
      <c r="J43" s="58">
        <f t="shared" si="2"/>
        <v>1076.3365234178568</v>
      </c>
      <c r="K43" s="25"/>
      <c r="L43" s="25"/>
      <c r="M43" s="25"/>
      <c r="N43" s="25"/>
      <c r="O43" s="25"/>
      <c r="P43" s="25"/>
      <c r="Q43" s="25"/>
    </row>
    <row r="44" spans="1:17" ht="15.75" customHeight="1" x14ac:dyDescent="0.25">
      <c r="A44" s="49" t="s">
        <v>44</v>
      </c>
      <c r="B44" s="50">
        <f>SUM(B4+B15+B26+B34)</f>
        <v>53.138075313807533</v>
      </c>
      <c r="C44" s="50">
        <f t="shared" ref="C44:E44" si="3">SUM(C4+C15+C10+C11)</f>
        <v>35.189247650844443</v>
      </c>
      <c r="D44" s="50">
        <f t="shared" si="3"/>
        <v>47.878226037537289</v>
      </c>
      <c r="E44" s="50">
        <f t="shared" si="3"/>
        <v>45.25620984928112</v>
      </c>
      <c r="F44" s="50">
        <f t="shared" ref="F44:J44" si="4">SUM(F4+F13+F10+F11)</f>
        <v>51.215383031395803</v>
      </c>
      <c r="G44" s="50">
        <f t="shared" si="4"/>
        <v>51.830110021794397</v>
      </c>
      <c r="H44" s="50">
        <f t="shared" si="4"/>
        <v>52.104769911511767</v>
      </c>
      <c r="I44" s="50">
        <f t="shared" si="4"/>
        <v>53.705017059962337</v>
      </c>
      <c r="J44" s="50">
        <f t="shared" si="4"/>
        <v>51.920224719101128</v>
      </c>
      <c r="K44" s="51"/>
      <c r="L44" s="51"/>
      <c r="M44" s="51"/>
      <c r="N44" s="51"/>
      <c r="O44" s="51"/>
      <c r="P44" s="51"/>
      <c r="Q44" s="51"/>
    </row>
    <row r="45" spans="1:17" ht="15.75" customHeight="1" x14ac:dyDescent="0.25">
      <c r="A45" s="49" t="s">
        <v>45</v>
      </c>
      <c r="B45" s="50">
        <f t="shared" ref="B45:J45" si="5">SUMSQ(B4:B37)</f>
        <v>1058.5811692820846</v>
      </c>
      <c r="C45" s="50">
        <f t="shared" si="5"/>
        <v>437.42236149767962</v>
      </c>
      <c r="D45" s="50">
        <f t="shared" si="5"/>
        <v>715.93057307527749</v>
      </c>
      <c r="E45" s="50">
        <f t="shared" si="5"/>
        <v>643.42642485819886</v>
      </c>
      <c r="F45" s="50">
        <f t="shared" si="5"/>
        <v>822.16237996258985</v>
      </c>
      <c r="G45" s="50">
        <f t="shared" si="5"/>
        <v>847.31303221370695</v>
      </c>
      <c r="H45" s="50">
        <f t="shared" si="5"/>
        <v>864.90089591622473</v>
      </c>
      <c r="I45" s="50">
        <f t="shared" si="5"/>
        <v>917.3380732225495</v>
      </c>
      <c r="J45" s="50">
        <f t="shared" si="5"/>
        <v>868.71728342290646</v>
      </c>
      <c r="K45" s="51"/>
      <c r="L45" s="51"/>
      <c r="M45" s="51"/>
      <c r="N45" s="51"/>
      <c r="O45" s="51"/>
      <c r="P45" s="51"/>
      <c r="Q45" s="51"/>
    </row>
    <row r="46" spans="1:17" ht="15.75" customHeight="1" x14ac:dyDescent="0.25">
      <c r="A46" s="25"/>
      <c r="B46" s="25"/>
      <c r="C46" s="25"/>
      <c r="D46" s="25"/>
      <c r="E46" s="25"/>
      <c r="F46" s="25"/>
      <c r="G46" s="25"/>
      <c r="H46" s="25"/>
      <c r="I46" s="25"/>
      <c r="J46" s="25"/>
      <c r="K46" s="25"/>
      <c r="L46" s="25"/>
      <c r="M46" s="25"/>
      <c r="N46" s="25"/>
      <c r="O46" s="25"/>
      <c r="P46" s="25"/>
      <c r="Q46" s="25"/>
    </row>
    <row r="47" spans="1:17" ht="15.75" customHeight="1" x14ac:dyDescent="0.25">
      <c r="A47" s="25"/>
      <c r="B47" s="41"/>
      <c r="C47" s="25"/>
      <c r="D47" s="25"/>
      <c r="E47" s="25"/>
      <c r="F47" s="25"/>
      <c r="G47" s="25"/>
      <c r="H47" s="25"/>
      <c r="I47" s="25"/>
      <c r="J47" s="25"/>
      <c r="K47" s="25"/>
      <c r="L47" s="25"/>
      <c r="M47" s="25"/>
      <c r="N47" s="25"/>
      <c r="O47" s="25"/>
      <c r="P47" s="25"/>
      <c r="Q47" s="25"/>
    </row>
    <row r="48" spans="1:17" ht="15.75" customHeight="1" x14ac:dyDescent="0.25">
      <c r="A48" s="25"/>
      <c r="B48" s="25"/>
      <c r="C48" s="25"/>
      <c r="D48" s="25"/>
      <c r="E48" s="25"/>
      <c r="F48" s="25"/>
      <c r="G48" s="25"/>
      <c r="H48" s="25"/>
      <c r="I48" s="25"/>
      <c r="J48" s="25"/>
      <c r="K48" s="25"/>
      <c r="L48" s="25"/>
      <c r="M48" s="25"/>
      <c r="N48" s="25"/>
      <c r="O48" s="25"/>
      <c r="P48" s="25"/>
      <c r="Q48" s="25"/>
    </row>
    <row r="49" spans="1:17" ht="15.75" customHeight="1" x14ac:dyDescent="0.25">
      <c r="A49" s="56"/>
      <c r="B49" s="25"/>
      <c r="C49" s="25"/>
      <c r="D49" s="25"/>
      <c r="E49" s="25"/>
      <c r="F49" s="25"/>
      <c r="G49" s="25"/>
      <c r="H49" s="25"/>
      <c r="I49" s="25"/>
      <c r="J49" s="25"/>
      <c r="K49" s="25"/>
      <c r="L49" s="25"/>
      <c r="M49" s="25"/>
      <c r="N49" s="25"/>
      <c r="O49" s="25"/>
      <c r="P49" s="25"/>
      <c r="Q49" s="25"/>
    </row>
  </sheetData>
  <mergeCells count="2">
    <mergeCell ref="B1:L1"/>
    <mergeCell ref="L9:Q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2.375" customWidth="1"/>
    <col min="2" max="2" width="8.625" customWidth="1"/>
    <col min="3" max="3" width="13" customWidth="1"/>
    <col min="4" max="6" width="13.875" customWidth="1"/>
    <col min="7" max="7" width="19.375" customWidth="1"/>
    <col min="8" max="8" width="11.75" customWidth="1"/>
    <col min="9" max="9" width="14.75" customWidth="1"/>
    <col min="10" max="10" width="11.75" customWidth="1"/>
    <col min="11" max="11" width="10.125" customWidth="1"/>
    <col min="12" max="12" width="11.75" customWidth="1"/>
    <col min="13" max="20" width="9.375" customWidth="1"/>
  </cols>
  <sheetData>
    <row r="1" spans="1:20" ht="18" customHeight="1" x14ac:dyDescent="0.25">
      <c r="A1" s="60"/>
      <c r="B1" s="622" t="s">
        <v>57</v>
      </c>
      <c r="C1" s="623"/>
      <c r="D1" s="623"/>
      <c r="E1" s="623"/>
      <c r="F1" s="623"/>
      <c r="G1" s="623"/>
      <c r="H1" s="623"/>
      <c r="I1" s="623"/>
      <c r="J1" s="623"/>
      <c r="K1" s="623"/>
      <c r="L1" s="623"/>
      <c r="M1" s="623"/>
      <c r="N1" s="60"/>
      <c r="O1" s="60"/>
      <c r="P1" s="60"/>
      <c r="Q1" s="60"/>
      <c r="R1" s="60"/>
      <c r="S1" s="60"/>
      <c r="T1" s="60"/>
    </row>
    <row r="2" spans="1:20" ht="15.75" customHeight="1" x14ac:dyDescent="0.25">
      <c r="A2" s="4"/>
      <c r="B2" s="4">
        <v>1984</v>
      </c>
      <c r="C2" s="4">
        <v>1988</v>
      </c>
      <c r="D2" s="4">
        <v>1992</v>
      </c>
      <c r="E2" s="4">
        <v>1996</v>
      </c>
      <c r="F2" s="4">
        <v>2000</v>
      </c>
      <c r="G2" s="4">
        <v>2004</v>
      </c>
      <c r="H2" s="4">
        <v>2008</v>
      </c>
      <c r="I2" s="4">
        <v>2010</v>
      </c>
      <c r="J2" s="4">
        <v>2011</v>
      </c>
      <c r="K2" s="4">
        <v>2012</v>
      </c>
      <c r="L2" s="4">
        <v>2013</v>
      </c>
      <c r="M2" s="12">
        <v>2014</v>
      </c>
      <c r="N2" s="12"/>
      <c r="O2" s="12"/>
      <c r="P2" s="12"/>
      <c r="Q2" s="12"/>
      <c r="R2" s="12"/>
      <c r="S2" s="12"/>
      <c r="T2" s="12"/>
    </row>
    <row r="3" spans="1:20" ht="15.75" customHeight="1" x14ac:dyDescent="0.25">
      <c r="A3" s="5" t="s">
        <v>61</v>
      </c>
      <c r="B3" s="81">
        <v>35</v>
      </c>
      <c r="C3" s="81">
        <v>62.5</v>
      </c>
      <c r="D3" s="81">
        <v>164.6</v>
      </c>
      <c r="E3" s="81">
        <v>534.40000000000009</v>
      </c>
      <c r="F3" s="81">
        <v>1190.4000000000001</v>
      </c>
      <c r="G3" s="81">
        <v>1574.5</v>
      </c>
      <c r="H3" s="5">
        <v>1977.6000000000001</v>
      </c>
      <c r="I3" s="5">
        <v>2333.6000000000004</v>
      </c>
      <c r="J3" s="5">
        <v>2369.6999999999998</v>
      </c>
      <c r="K3" s="5">
        <v>2179.5</v>
      </c>
      <c r="L3" s="5">
        <v>2124.1</v>
      </c>
      <c r="M3" s="53">
        <v>2130.1</v>
      </c>
      <c r="N3" s="25"/>
      <c r="O3" s="25"/>
      <c r="P3" s="25"/>
      <c r="Q3" s="25"/>
      <c r="R3" s="25"/>
      <c r="S3" s="25"/>
      <c r="T3" s="25"/>
    </row>
    <row r="4" spans="1:20" ht="15.75" customHeight="1" x14ac:dyDescent="0.25">
      <c r="A4" s="95" t="s">
        <v>77</v>
      </c>
      <c r="B4" s="97"/>
      <c r="C4" s="97"/>
      <c r="D4" s="97"/>
      <c r="E4" s="97">
        <v>534.40000000000009</v>
      </c>
      <c r="F4" s="97">
        <v>682.9</v>
      </c>
      <c r="G4" s="97">
        <v>1059.107009605656</v>
      </c>
      <c r="H4" s="95">
        <v>1326.9</v>
      </c>
      <c r="I4" s="95">
        <v>1615.4</v>
      </c>
      <c r="J4" s="95">
        <v>1629</v>
      </c>
      <c r="K4" s="95">
        <v>1438.3</v>
      </c>
      <c r="L4" s="95">
        <v>1381.3</v>
      </c>
      <c r="M4" s="99">
        <v>1369.2919999999999</v>
      </c>
      <c r="N4" s="51"/>
      <c r="O4" s="51"/>
      <c r="P4" s="51"/>
      <c r="Q4" s="51"/>
      <c r="R4" s="51"/>
      <c r="S4" s="51"/>
      <c r="T4" s="51"/>
    </row>
    <row r="5" spans="1:20" ht="15.75" customHeight="1" x14ac:dyDescent="0.25">
      <c r="A5" s="95" t="s">
        <v>113</v>
      </c>
      <c r="B5" s="95"/>
      <c r="C5" s="95"/>
      <c r="D5" s="95"/>
      <c r="E5" s="95"/>
      <c r="F5" s="95">
        <v>379.2</v>
      </c>
      <c r="G5" s="95">
        <v>588.20000000000005</v>
      </c>
      <c r="H5" s="95">
        <v>650.70000000000005</v>
      </c>
      <c r="I5" s="95">
        <v>718.2</v>
      </c>
      <c r="J5" s="95">
        <v>740.7</v>
      </c>
      <c r="K5" s="95">
        <v>741.2</v>
      </c>
      <c r="L5" s="95">
        <v>742.8</v>
      </c>
      <c r="M5" s="99">
        <v>760.81200000000001</v>
      </c>
      <c r="N5" s="51"/>
      <c r="O5" s="51"/>
      <c r="P5" s="51"/>
      <c r="Q5" s="51"/>
      <c r="R5" s="51"/>
      <c r="S5" s="51"/>
      <c r="T5" s="51"/>
    </row>
    <row r="6" spans="1:20" ht="15.75" customHeight="1" x14ac:dyDescent="0.25">
      <c r="A6" s="5" t="s">
        <v>114</v>
      </c>
      <c r="B6" s="81"/>
      <c r="C6" s="81"/>
      <c r="D6" s="81"/>
      <c r="E6" s="81">
        <v>92</v>
      </c>
      <c r="F6" s="81" t="s">
        <v>115</v>
      </c>
      <c r="G6" s="5"/>
      <c r="H6" s="5"/>
      <c r="I6" s="5"/>
      <c r="J6" s="5"/>
      <c r="K6" s="5"/>
      <c r="L6" s="5"/>
      <c r="M6" s="21"/>
      <c r="N6" s="25"/>
      <c r="O6" s="626" t="s">
        <v>8</v>
      </c>
      <c r="P6" s="623"/>
      <c r="Q6" s="623"/>
      <c r="R6" s="623"/>
      <c r="S6" s="623"/>
      <c r="T6" s="623"/>
    </row>
    <row r="7" spans="1:20" ht="15.75" customHeight="1" x14ac:dyDescent="0.25">
      <c r="A7" s="5" t="s">
        <v>116</v>
      </c>
      <c r="B7" s="81">
        <v>3.9</v>
      </c>
      <c r="C7" s="81">
        <v>6.4</v>
      </c>
      <c r="D7" s="81">
        <v>8.4</v>
      </c>
      <c r="E7" s="81">
        <v>13.2</v>
      </c>
      <c r="F7" s="81">
        <v>18.2</v>
      </c>
      <c r="G7" s="5">
        <v>22.1</v>
      </c>
      <c r="H7" s="5">
        <v>26.3</v>
      </c>
      <c r="I7" s="5" t="s">
        <v>117</v>
      </c>
      <c r="J7" s="5"/>
      <c r="K7" s="5"/>
      <c r="L7" s="5"/>
      <c r="M7" s="21"/>
      <c r="N7" s="25"/>
      <c r="O7" s="623"/>
      <c r="P7" s="623"/>
      <c r="Q7" s="623"/>
      <c r="R7" s="623"/>
      <c r="S7" s="623"/>
      <c r="T7" s="623"/>
    </row>
    <row r="8" spans="1:20" ht="15.75" customHeight="1" x14ac:dyDescent="0.25">
      <c r="A8" s="5" t="s">
        <v>119</v>
      </c>
      <c r="B8" s="81">
        <v>30.7</v>
      </c>
      <c r="C8" s="81">
        <v>31.8</v>
      </c>
      <c r="D8" s="81">
        <v>28.7</v>
      </c>
      <c r="E8" s="81">
        <v>47.1</v>
      </c>
      <c r="F8" s="81">
        <v>158.9</v>
      </c>
      <c r="G8" s="81" t="s">
        <v>74</v>
      </c>
      <c r="H8" s="5"/>
      <c r="I8" s="5"/>
      <c r="J8" s="5"/>
      <c r="K8" s="5"/>
      <c r="L8" s="5"/>
      <c r="M8" s="21"/>
      <c r="N8" s="25"/>
      <c r="O8" s="623"/>
      <c r="P8" s="623"/>
      <c r="Q8" s="623"/>
      <c r="R8" s="623"/>
      <c r="S8" s="623"/>
      <c r="T8" s="623"/>
    </row>
    <row r="9" spans="1:20" ht="15.75" customHeight="1" x14ac:dyDescent="0.25">
      <c r="A9" s="5" t="s">
        <v>121</v>
      </c>
      <c r="B9" s="81">
        <v>1.9</v>
      </c>
      <c r="C9" s="81">
        <v>2.9</v>
      </c>
      <c r="D9" s="81">
        <v>6.6</v>
      </c>
      <c r="E9" s="81">
        <v>11.2</v>
      </c>
      <c r="F9" s="81">
        <v>28.4</v>
      </c>
      <c r="G9" s="81" t="s">
        <v>74</v>
      </c>
      <c r="H9" s="5"/>
      <c r="I9" s="5"/>
      <c r="J9" s="5"/>
      <c r="K9" s="5"/>
      <c r="L9" s="5"/>
      <c r="M9" s="21"/>
      <c r="N9" s="25"/>
      <c r="O9" s="623"/>
      <c r="P9" s="623"/>
      <c r="Q9" s="623"/>
      <c r="R9" s="623"/>
      <c r="S9" s="623"/>
      <c r="T9" s="623"/>
    </row>
    <row r="10" spans="1:20" ht="15.75" customHeight="1" x14ac:dyDescent="0.25">
      <c r="A10" s="5" t="s">
        <v>122</v>
      </c>
      <c r="B10" s="81">
        <v>0.8</v>
      </c>
      <c r="C10" s="81">
        <v>1.1000000000000001</v>
      </c>
      <c r="D10" s="81">
        <v>6.7</v>
      </c>
      <c r="E10" s="81">
        <v>11.4</v>
      </c>
      <c r="F10" s="81">
        <v>12</v>
      </c>
      <c r="G10" s="81" t="s">
        <v>123</v>
      </c>
      <c r="H10" s="5"/>
      <c r="I10" s="5"/>
      <c r="J10" s="5"/>
      <c r="K10" s="5"/>
      <c r="L10" s="5"/>
      <c r="M10" s="21"/>
      <c r="N10" s="25"/>
      <c r="O10" s="623"/>
      <c r="P10" s="623"/>
      <c r="Q10" s="623"/>
      <c r="R10" s="623"/>
      <c r="S10" s="623"/>
      <c r="T10" s="623"/>
    </row>
    <row r="11" spans="1:20" ht="15.75" customHeight="1" x14ac:dyDescent="0.25">
      <c r="A11" s="5" t="s">
        <v>124</v>
      </c>
      <c r="B11" s="81">
        <v>3.8</v>
      </c>
      <c r="C11" s="81">
        <v>6.2</v>
      </c>
      <c r="D11" s="81">
        <v>8.6</v>
      </c>
      <c r="E11" s="81">
        <v>18.7</v>
      </c>
      <c r="F11" s="81" t="s">
        <v>125</v>
      </c>
      <c r="G11" s="81"/>
      <c r="H11" s="5"/>
      <c r="I11" s="5"/>
      <c r="J11" s="5"/>
      <c r="K11" s="5"/>
      <c r="L11" s="5"/>
      <c r="M11" s="21"/>
      <c r="N11" s="25"/>
      <c r="O11" s="623"/>
      <c r="P11" s="623"/>
      <c r="Q11" s="623"/>
      <c r="R11" s="623"/>
      <c r="S11" s="623"/>
      <c r="T11" s="623"/>
    </row>
    <row r="12" spans="1:20" ht="15.75" customHeight="1" x14ac:dyDescent="0.25">
      <c r="A12" s="5" t="s">
        <v>126</v>
      </c>
      <c r="B12" s="81">
        <v>1.2</v>
      </c>
      <c r="C12" s="81">
        <v>1.4</v>
      </c>
      <c r="D12" s="81">
        <v>1.9</v>
      </c>
      <c r="E12" s="81" t="s">
        <v>127</v>
      </c>
      <c r="F12" s="81"/>
      <c r="G12" s="81"/>
      <c r="H12" s="5"/>
      <c r="I12" s="5"/>
      <c r="J12" s="5"/>
      <c r="K12" s="5"/>
      <c r="L12" s="5"/>
      <c r="M12" s="21"/>
      <c r="N12" s="25"/>
      <c r="O12" s="623"/>
      <c r="P12" s="623"/>
      <c r="Q12" s="623"/>
      <c r="R12" s="623"/>
      <c r="S12" s="623"/>
      <c r="T12" s="623"/>
    </row>
    <row r="13" spans="1:20" ht="15.75" customHeight="1" x14ac:dyDescent="0.25">
      <c r="A13" s="5" t="s">
        <v>128</v>
      </c>
      <c r="B13" s="81"/>
      <c r="C13" s="81"/>
      <c r="D13" s="81">
        <v>32.799999999999997</v>
      </c>
      <c r="E13" s="81">
        <v>69.099999999999994</v>
      </c>
      <c r="F13" s="81" t="s">
        <v>125</v>
      </c>
      <c r="G13" s="81"/>
      <c r="H13" s="5"/>
      <c r="I13" s="5"/>
      <c r="J13" s="5"/>
      <c r="K13" s="5"/>
      <c r="L13" s="5"/>
      <c r="M13" s="21"/>
      <c r="N13" s="25"/>
      <c r="O13" s="623"/>
      <c r="P13" s="623"/>
      <c r="Q13" s="623"/>
      <c r="R13" s="623"/>
      <c r="S13" s="623"/>
      <c r="T13" s="623"/>
    </row>
    <row r="14" spans="1:20" ht="15.75" customHeight="1" x14ac:dyDescent="0.25">
      <c r="A14" s="5" t="s">
        <v>129</v>
      </c>
      <c r="B14" s="81"/>
      <c r="C14" s="81"/>
      <c r="D14" s="81">
        <v>11.5</v>
      </c>
      <c r="E14" s="81" t="s">
        <v>130</v>
      </c>
      <c r="F14" s="81"/>
      <c r="G14" s="81"/>
      <c r="H14" s="5"/>
      <c r="I14" s="5"/>
      <c r="J14" s="5"/>
      <c r="K14" s="5"/>
      <c r="L14" s="5"/>
      <c r="M14" s="21"/>
      <c r="N14" s="25"/>
      <c r="O14" s="623"/>
      <c r="P14" s="623"/>
      <c r="Q14" s="623"/>
      <c r="R14" s="623"/>
      <c r="S14" s="623"/>
      <c r="T14" s="623"/>
    </row>
    <row r="15" spans="1:20" ht="15.75" customHeight="1" x14ac:dyDescent="0.25">
      <c r="A15" s="5" t="s">
        <v>131</v>
      </c>
      <c r="B15" s="81"/>
      <c r="C15" s="81"/>
      <c r="D15" s="81">
        <v>29.4</v>
      </c>
      <c r="E15" s="81" t="s">
        <v>132</v>
      </c>
      <c r="F15" s="81"/>
      <c r="G15" s="81"/>
      <c r="H15" s="5"/>
      <c r="I15" s="5"/>
      <c r="J15" s="5"/>
      <c r="K15" s="5"/>
      <c r="L15" s="5"/>
      <c r="M15" s="21"/>
      <c r="N15" s="25"/>
      <c r="O15" s="623"/>
      <c r="P15" s="623"/>
      <c r="Q15" s="623"/>
      <c r="R15" s="623"/>
      <c r="S15" s="623"/>
      <c r="T15" s="623"/>
    </row>
    <row r="16" spans="1:20" ht="15.75" customHeight="1" x14ac:dyDescent="0.25">
      <c r="A16" s="5" t="s">
        <v>133</v>
      </c>
      <c r="B16" s="81">
        <v>4.3</v>
      </c>
      <c r="C16" s="81">
        <v>57.6</v>
      </c>
      <c r="D16" s="81">
        <v>84</v>
      </c>
      <c r="E16" s="81" t="s">
        <v>134</v>
      </c>
      <c r="F16" s="81"/>
      <c r="G16" s="81"/>
      <c r="H16" s="5"/>
      <c r="I16" s="5"/>
      <c r="J16" s="5"/>
      <c r="K16" s="5"/>
      <c r="L16" s="5"/>
      <c r="M16" s="21"/>
      <c r="N16" s="25"/>
      <c r="O16" s="623"/>
      <c r="P16" s="623"/>
      <c r="Q16" s="623"/>
      <c r="R16" s="623"/>
      <c r="S16" s="623"/>
      <c r="T16" s="623"/>
    </row>
    <row r="17" spans="1:20" ht="15.75" customHeight="1" x14ac:dyDescent="0.25">
      <c r="A17" s="5" t="s">
        <v>135</v>
      </c>
      <c r="B17" s="81"/>
      <c r="C17" s="81"/>
      <c r="D17" s="81">
        <v>75</v>
      </c>
      <c r="E17" s="81" t="s">
        <v>136</v>
      </c>
      <c r="F17" s="81"/>
      <c r="G17" s="81"/>
      <c r="H17" s="5"/>
      <c r="I17" s="5"/>
      <c r="J17" s="5"/>
      <c r="K17" s="5"/>
      <c r="L17" s="5"/>
      <c r="M17" s="21"/>
      <c r="N17" s="25"/>
      <c r="O17" s="623"/>
      <c r="P17" s="623"/>
      <c r="Q17" s="623"/>
      <c r="R17" s="623"/>
      <c r="S17" s="623"/>
      <c r="T17" s="623"/>
    </row>
    <row r="18" spans="1:20" ht="15.75" customHeight="1" x14ac:dyDescent="0.25">
      <c r="A18" s="5" t="s">
        <v>137</v>
      </c>
      <c r="B18" s="81"/>
      <c r="C18" s="81">
        <v>10.8</v>
      </c>
      <c r="D18" s="81" t="s">
        <v>138</v>
      </c>
      <c r="E18" s="81"/>
      <c r="F18" s="81"/>
      <c r="G18" s="81"/>
      <c r="H18" s="5"/>
      <c r="I18" s="5"/>
      <c r="J18" s="5"/>
      <c r="K18" s="5"/>
      <c r="L18" s="5"/>
      <c r="M18" s="21"/>
      <c r="N18" s="25"/>
      <c r="O18" s="25"/>
      <c r="P18" s="25"/>
      <c r="Q18" s="25"/>
      <c r="R18" s="25"/>
      <c r="S18" s="25"/>
      <c r="T18" s="25"/>
    </row>
    <row r="19" spans="1:20" ht="15.75" customHeight="1" x14ac:dyDescent="0.25">
      <c r="A19" s="5" t="s">
        <v>139</v>
      </c>
      <c r="B19" s="81"/>
      <c r="C19" s="81"/>
      <c r="D19" s="81"/>
      <c r="E19" s="81"/>
      <c r="F19" s="81">
        <v>305</v>
      </c>
      <c r="G19" s="81">
        <v>856.7</v>
      </c>
      <c r="H19" s="5">
        <v>1380.1</v>
      </c>
      <c r="I19" s="5">
        <v>1718.9</v>
      </c>
      <c r="J19" s="5">
        <v>1874.2</v>
      </c>
      <c r="K19" s="5">
        <v>1937.5</v>
      </c>
      <c r="L19" s="5">
        <v>2103.259</v>
      </c>
      <c r="M19" s="21">
        <f>SUM(M20:M21)</f>
        <v>2385.6999999999998</v>
      </c>
      <c r="N19" s="25"/>
      <c r="O19" s="25"/>
      <c r="P19" s="25"/>
      <c r="Q19" s="25"/>
      <c r="R19" s="25"/>
      <c r="S19" s="25"/>
      <c r="T19" s="25"/>
    </row>
    <row r="20" spans="1:20" ht="15.75" customHeight="1" x14ac:dyDescent="0.2">
      <c r="A20" s="95" t="s">
        <v>140</v>
      </c>
      <c r="B20" s="97"/>
      <c r="C20" s="97"/>
      <c r="D20" s="97"/>
      <c r="E20" s="97"/>
      <c r="F20" s="97">
        <v>305</v>
      </c>
      <c r="G20" s="97">
        <v>856.7</v>
      </c>
      <c r="H20" s="95">
        <v>1380.1</v>
      </c>
      <c r="I20" s="95">
        <v>1674</v>
      </c>
      <c r="J20" s="95">
        <v>1799.2</v>
      </c>
      <c r="K20" s="95">
        <v>1765.5</v>
      </c>
      <c r="L20" s="95">
        <v>1747.059</v>
      </c>
      <c r="M20" s="99">
        <v>1669.9</v>
      </c>
      <c r="N20" s="105"/>
      <c r="O20" s="105"/>
      <c r="P20" s="105"/>
      <c r="Q20" s="105"/>
      <c r="R20" s="105"/>
      <c r="S20" s="105"/>
      <c r="T20" s="105"/>
    </row>
    <row r="21" spans="1:20" ht="15.75" customHeight="1" x14ac:dyDescent="0.2">
      <c r="A21" s="95" t="s">
        <v>141</v>
      </c>
      <c r="B21" s="97"/>
      <c r="C21" s="97"/>
      <c r="D21" s="97"/>
      <c r="E21" s="97"/>
      <c r="F21" s="97"/>
      <c r="G21" s="97"/>
      <c r="H21" s="95"/>
      <c r="I21" s="95">
        <v>44.9</v>
      </c>
      <c r="J21" s="95">
        <v>75</v>
      </c>
      <c r="K21" s="95">
        <v>172</v>
      </c>
      <c r="L21" s="95">
        <v>356.2</v>
      </c>
      <c r="M21" s="99">
        <v>715.8</v>
      </c>
      <c r="N21" s="105"/>
      <c r="O21" s="105"/>
      <c r="P21" s="105"/>
      <c r="Q21" s="105"/>
      <c r="R21" s="105"/>
      <c r="S21" s="105"/>
      <c r="T21" s="105"/>
    </row>
    <row r="22" spans="1:20" ht="15.75" customHeight="1" x14ac:dyDescent="0.25">
      <c r="A22" s="5" t="s">
        <v>17</v>
      </c>
      <c r="B22" s="81">
        <v>181.4</v>
      </c>
      <c r="C22" s="81">
        <v>277.8</v>
      </c>
      <c r="D22" s="81">
        <v>509.4</v>
      </c>
      <c r="E22" s="81">
        <v>953.3</v>
      </c>
      <c r="F22" s="81">
        <v>980.3</v>
      </c>
      <c r="G22" s="81">
        <v>1253.0999999999999</v>
      </c>
      <c r="H22" s="5">
        <v>1600.2</v>
      </c>
      <c r="I22" s="5">
        <v>1765.8</v>
      </c>
      <c r="J22" s="5">
        <v>1830.6</v>
      </c>
      <c r="K22" s="5">
        <v>1838.5</v>
      </c>
      <c r="L22" s="5">
        <v>1771.6</v>
      </c>
      <c r="M22" s="107">
        <v>1734</v>
      </c>
      <c r="N22" s="63"/>
      <c r="O22" s="63"/>
      <c r="P22" s="63"/>
      <c r="Q22" s="63"/>
      <c r="R22" s="63"/>
      <c r="S22" s="63"/>
      <c r="T22" s="63"/>
    </row>
    <row r="23" spans="1:20" ht="15.75" customHeight="1" x14ac:dyDescent="0.25">
      <c r="A23" s="5" t="s">
        <v>142</v>
      </c>
      <c r="B23" s="81">
        <v>4.3</v>
      </c>
      <c r="C23" s="81">
        <v>10.9</v>
      </c>
      <c r="D23" s="81">
        <v>16.8</v>
      </c>
      <c r="E23" s="81">
        <v>27</v>
      </c>
      <c r="F23" s="81">
        <v>31.3</v>
      </c>
      <c r="G23" s="81" t="s">
        <v>143</v>
      </c>
      <c r="H23" s="5"/>
      <c r="I23" s="5"/>
      <c r="J23" s="5"/>
      <c r="K23" s="5"/>
      <c r="L23" s="5"/>
      <c r="M23" s="21"/>
      <c r="N23" s="25"/>
      <c r="O23" s="25"/>
      <c r="P23" s="25"/>
      <c r="Q23" s="25"/>
      <c r="R23" s="25"/>
      <c r="S23" s="25"/>
      <c r="T23" s="25"/>
    </row>
    <row r="24" spans="1:20" ht="15.75" customHeight="1" x14ac:dyDescent="0.25">
      <c r="A24" s="5" t="s">
        <v>144</v>
      </c>
      <c r="B24" s="81">
        <v>47.4</v>
      </c>
      <c r="C24" s="81">
        <v>83.5</v>
      </c>
      <c r="D24" s="81">
        <v>176</v>
      </c>
      <c r="E24" s="81" t="s">
        <v>145</v>
      </c>
      <c r="F24" s="81"/>
      <c r="G24" s="81"/>
      <c r="H24" s="5"/>
      <c r="I24" s="5"/>
      <c r="J24" s="5"/>
      <c r="K24" s="5"/>
      <c r="L24" s="5"/>
      <c r="M24" s="21"/>
      <c r="N24" s="25"/>
      <c r="O24" s="25"/>
      <c r="P24" s="25"/>
      <c r="Q24" s="25"/>
      <c r="R24" s="25"/>
      <c r="S24" s="25"/>
      <c r="T24" s="25"/>
    </row>
    <row r="25" spans="1:20" ht="15.75" customHeight="1" x14ac:dyDescent="0.25">
      <c r="A25" s="5" t="s">
        <v>147</v>
      </c>
      <c r="B25" s="81">
        <v>16.600000000000001</v>
      </c>
      <c r="C25" s="81">
        <v>22.1</v>
      </c>
      <c r="D25" s="81" t="s">
        <v>148</v>
      </c>
      <c r="E25" s="81"/>
      <c r="F25" s="81"/>
      <c r="G25" s="81"/>
      <c r="H25" s="5"/>
      <c r="I25" s="5"/>
      <c r="J25" s="5"/>
      <c r="K25" s="5"/>
      <c r="L25" s="5"/>
      <c r="M25" s="21"/>
      <c r="N25" s="25"/>
      <c r="O25" s="25"/>
      <c r="P25" s="25"/>
      <c r="Q25" s="25"/>
      <c r="R25" s="25"/>
      <c r="S25" s="25"/>
      <c r="T25" s="25"/>
    </row>
    <row r="26" spans="1:20" ht="15.75" customHeight="1" x14ac:dyDescent="0.25">
      <c r="A26" s="5" t="s">
        <v>149</v>
      </c>
      <c r="B26" s="81">
        <v>20.9</v>
      </c>
      <c r="C26" s="81" t="s">
        <v>152</v>
      </c>
      <c r="D26" s="81"/>
      <c r="E26" s="81"/>
      <c r="F26" s="81"/>
      <c r="G26" s="81"/>
      <c r="H26" s="5"/>
      <c r="I26" s="5"/>
      <c r="J26" s="5"/>
      <c r="K26" s="5"/>
      <c r="L26" s="5"/>
      <c r="M26" s="21"/>
      <c r="N26" s="25"/>
      <c r="O26" s="25"/>
      <c r="P26" s="25"/>
      <c r="Q26" s="25"/>
      <c r="R26" s="25"/>
      <c r="S26" s="25"/>
      <c r="T26" s="25"/>
    </row>
    <row r="27" spans="1:20" ht="15.75" customHeight="1" x14ac:dyDescent="0.25">
      <c r="A27" s="5" t="s">
        <v>154</v>
      </c>
      <c r="B27" s="81"/>
      <c r="C27" s="81"/>
      <c r="D27" s="81"/>
      <c r="E27" s="81"/>
      <c r="F27" s="81"/>
      <c r="G27" s="81">
        <v>705.5</v>
      </c>
      <c r="H27" s="5">
        <v>836.4</v>
      </c>
      <c r="I27" s="5">
        <v>982</v>
      </c>
      <c r="J27" s="5">
        <v>1040.9000000000001</v>
      </c>
      <c r="K27" s="5">
        <v>1086.3</v>
      </c>
      <c r="L27" s="5">
        <v>1090</v>
      </c>
      <c r="M27" s="53">
        <v>1080</v>
      </c>
      <c r="N27" s="25"/>
      <c r="O27" s="25"/>
      <c r="P27" s="25"/>
      <c r="Q27" s="25"/>
      <c r="R27" s="25"/>
      <c r="S27" s="25"/>
      <c r="T27" s="25"/>
    </row>
    <row r="28" spans="1:20" ht="15.75" customHeight="1" x14ac:dyDescent="0.25">
      <c r="A28" s="5" t="s">
        <v>156</v>
      </c>
      <c r="B28" s="81"/>
      <c r="C28" s="81">
        <v>245</v>
      </c>
      <c r="D28" s="81">
        <v>292.3</v>
      </c>
      <c r="E28" s="81">
        <v>634.70000000000005</v>
      </c>
      <c r="F28" s="81">
        <v>659</v>
      </c>
      <c r="G28" s="81" t="s">
        <v>157</v>
      </c>
      <c r="H28" s="5"/>
      <c r="I28" s="5"/>
      <c r="J28" s="5"/>
      <c r="K28" s="5"/>
      <c r="L28" s="5"/>
      <c r="M28" s="21"/>
      <c r="N28" s="25"/>
      <c r="O28" s="25"/>
      <c r="P28" s="25"/>
      <c r="Q28" s="25"/>
      <c r="R28" s="25"/>
      <c r="S28" s="25"/>
      <c r="T28" s="25"/>
    </row>
    <row r="29" spans="1:20" ht="15.75" customHeight="1" x14ac:dyDescent="0.25">
      <c r="A29" s="5" t="s">
        <v>159</v>
      </c>
      <c r="B29" s="81">
        <v>18.899999999999999</v>
      </c>
      <c r="C29" s="81">
        <v>36.799999999999997</v>
      </c>
      <c r="D29" s="81">
        <v>48.8</v>
      </c>
      <c r="E29" s="81">
        <v>130.6</v>
      </c>
      <c r="F29" s="81" t="s">
        <v>161</v>
      </c>
      <c r="G29" s="81"/>
      <c r="H29" s="5"/>
      <c r="I29" s="5"/>
      <c r="J29" s="5"/>
      <c r="K29" s="5"/>
      <c r="L29" s="5"/>
      <c r="M29" s="21"/>
      <c r="N29" s="25"/>
      <c r="O29" s="25"/>
      <c r="P29" s="25"/>
      <c r="Q29" s="25"/>
      <c r="R29" s="25"/>
      <c r="S29" s="25"/>
      <c r="T29" s="25"/>
    </row>
    <row r="30" spans="1:20" ht="15.75" customHeight="1" x14ac:dyDescent="0.25">
      <c r="A30" s="5" t="s">
        <v>163</v>
      </c>
      <c r="B30" s="81">
        <v>14.8</v>
      </c>
      <c r="C30" s="81">
        <v>19.7</v>
      </c>
      <c r="D30" s="81">
        <v>35</v>
      </c>
      <c r="E30" s="81" t="s">
        <v>164</v>
      </c>
      <c r="F30" s="81"/>
      <c r="G30" s="81"/>
      <c r="H30" s="5"/>
      <c r="I30" s="5"/>
      <c r="J30" s="5"/>
      <c r="K30" s="5"/>
      <c r="L30" s="5"/>
      <c r="M30" s="21"/>
      <c r="N30" s="25"/>
      <c r="O30" s="25"/>
      <c r="P30" s="25"/>
      <c r="Q30" s="25"/>
      <c r="R30" s="25"/>
      <c r="S30" s="25"/>
      <c r="T30" s="25"/>
    </row>
    <row r="31" spans="1:20" ht="15.75" customHeight="1" x14ac:dyDescent="0.25">
      <c r="A31" s="5" t="s">
        <v>165</v>
      </c>
      <c r="B31" s="81">
        <v>10.8</v>
      </c>
      <c r="C31" s="81">
        <v>11</v>
      </c>
      <c r="D31" s="81" t="s">
        <v>166</v>
      </c>
      <c r="E31" s="81"/>
      <c r="F31" s="81"/>
      <c r="G31" s="81"/>
      <c r="H31" s="5"/>
      <c r="I31" s="5"/>
      <c r="J31" s="5"/>
      <c r="K31" s="5"/>
      <c r="L31" s="5"/>
      <c r="M31" s="21"/>
      <c r="N31" s="25"/>
      <c r="O31" s="25"/>
      <c r="P31" s="25"/>
      <c r="Q31" s="25"/>
      <c r="R31" s="25"/>
      <c r="S31" s="25"/>
      <c r="T31" s="25"/>
    </row>
    <row r="32" spans="1:20" ht="15.75" customHeight="1" x14ac:dyDescent="0.25">
      <c r="A32" s="5" t="s">
        <v>167</v>
      </c>
      <c r="B32" s="81"/>
      <c r="C32" s="81"/>
      <c r="D32" s="81">
        <v>7.2</v>
      </c>
      <c r="E32" s="81" t="s">
        <v>168</v>
      </c>
      <c r="F32" s="81"/>
      <c r="G32" s="81"/>
      <c r="H32" s="5"/>
      <c r="I32" s="5"/>
      <c r="J32" s="5"/>
      <c r="K32" s="5"/>
      <c r="L32" s="5"/>
      <c r="M32" s="21"/>
      <c r="N32" s="25"/>
      <c r="O32" s="25"/>
      <c r="P32" s="25"/>
      <c r="Q32" s="25"/>
      <c r="R32" s="25"/>
      <c r="S32" s="25"/>
      <c r="T32" s="25"/>
    </row>
    <row r="33" spans="1:20" ht="15.75" customHeight="1" x14ac:dyDescent="0.25">
      <c r="A33" s="5" t="s">
        <v>20</v>
      </c>
      <c r="B33" s="5">
        <v>4.8</v>
      </c>
      <c r="C33" s="5">
        <v>25.7</v>
      </c>
      <c r="D33" s="5">
        <v>109.7</v>
      </c>
      <c r="E33" s="5">
        <v>152.752014</v>
      </c>
      <c r="F33" s="5">
        <v>341.10789864452698</v>
      </c>
      <c r="G33" s="5">
        <v>546.59649984386101</v>
      </c>
      <c r="H33" s="5">
        <v>512.1</v>
      </c>
      <c r="I33" s="5">
        <v>613.5</v>
      </c>
      <c r="J33" s="5">
        <v>639.70000000000005</v>
      </c>
      <c r="K33" s="5">
        <v>652.70000000000005</v>
      </c>
      <c r="L33" s="5">
        <v>631.5</v>
      </c>
      <c r="M33" s="53">
        <v>600.5</v>
      </c>
      <c r="N33" s="25"/>
      <c r="O33" s="25"/>
      <c r="P33" s="25"/>
      <c r="Q33" s="25"/>
      <c r="R33" s="25"/>
      <c r="S33" s="25"/>
      <c r="T33" s="25"/>
    </row>
    <row r="34" spans="1:20" ht="15.75" customHeight="1" x14ac:dyDescent="0.25">
      <c r="A34" s="5" t="s">
        <v>169</v>
      </c>
      <c r="B34" s="5"/>
      <c r="C34" s="5"/>
      <c r="D34" s="5">
        <v>10.1</v>
      </c>
      <c r="E34" s="5">
        <v>23</v>
      </c>
      <c r="F34" s="81" t="s">
        <v>20</v>
      </c>
      <c r="G34" s="5"/>
      <c r="H34" s="112"/>
      <c r="I34" s="112"/>
      <c r="J34" s="112"/>
      <c r="K34" s="113"/>
      <c r="L34" s="113"/>
      <c r="M34" s="21"/>
      <c r="N34" s="25"/>
      <c r="O34" s="25"/>
      <c r="P34" s="25"/>
      <c r="Q34" s="25"/>
      <c r="R34" s="25"/>
      <c r="S34" s="25"/>
      <c r="T34" s="25"/>
    </row>
    <row r="35" spans="1:20" ht="15.75" customHeight="1" x14ac:dyDescent="0.25">
      <c r="A35" s="5" t="s">
        <v>13</v>
      </c>
      <c r="B35" s="81"/>
      <c r="C35" s="81"/>
      <c r="D35" s="81"/>
      <c r="E35" s="81"/>
      <c r="F35" s="81"/>
      <c r="G35" s="81"/>
      <c r="H35" s="81">
        <v>33.542160000000003</v>
      </c>
      <c r="I35" s="81">
        <v>162.53639999999999</v>
      </c>
      <c r="J35" s="81">
        <v>289.10874000000001</v>
      </c>
      <c r="K35" s="5">
        <v>428.20301999999998</v>
      </c>
      <c r="L35" s="5">
        <v>527.35307999999998</v>
      </c>
      <c r="M35" s="53">
        <v>659.19942000000003</v>
      </c>
      <c r="N35" s="25"/>
      <c r="O35" s="25"/>
      <c r="P35" s="25"/>
      <c r="Q35" s="25"/>
      <c r="R35" s="25"/>
      <c r="S35" s="25"/>
      <c r="T35" s="25"/>
    </row>
    <row r="36" spans="1:20" ht="15.75" customHeight="1" x14ac:dyDescent="0.25">
      <c r="A36" s="5" t="s">
        <v>170</v>
      </c>
      <c r="B36" s="5"/>
      <c r="C36" s="5"/>
      <c r="D36" s="5"/>
      <c r="E36" s="5">
        <v>43.9</v>
      </c>
      <c r="F36" s="5">
        <v>113.2</v>
      </c>
      <c r="G36" s="5">
        <v>140.69999999999999</v>
      </c>
      <c r="H36" s="5">
        <v>269.89999999999998</v>
      </c>
      <c r="I36" s="5">
        <v>310.60000000000002</v>
      </c>
      <c r="J36" s="5">
        <v>326.39999999999998</v>
      </c>
      <c r="K36" s="5">
        <v>331.7</v>
      </c>
      <c r="L36" s="5">
        <v>332.7</v>
      </c>
      <c r="M36" s="53">
        <v>326.39999999999998</v>
      </c>
      <c r="N36" s="25"/>
      <c r="O36" s="25"/>
      <c r="P36" s="25"/>
      <c r="Q36" s="25"/>
      <c r="R36" s="25"/>
      <c r="S36" s="25"/>
      <c r="T36" s="25"/>
    </row>
    <row r="37" spans="1:20" ht="15.75" customHeight="1" x14ac:dyDescent="0.25">
      <c r="A37" s="5" t="s">
        <v>171</v>
      </c>
      <c r="B37" s="81">
        <v>14.4</v>
      </c>
      <c r="C37" s="81">
        <v>20.7</v>
      </c>
      <c r="D37" s="81">
        <v>34.799999999999997</v>
      </c>
      <c r="E37" s="81">
        <v>41.4</v>
      </c>
      <c r="F37" s="81">
        <v>114</v>
      </c>
      <c r="G37" s="81" t="s">
        <v>173</v>
      </c>
      <c r="H37" s="5"/>
      <c r="I37" s="5"/>
      <c r="J37" s="5"/>
      <c r="K37" s="5"/>
      <c r="L37" s="5"/>
      <c r="M37" s="21"/>
      <c r="N37" s="25"/>
      <c r="O37" s="25"/>
      <c r="P37" s="25"/>
      <c r="Q37" s="25"/>
      <c r="R37" s="25"/>
      <c r="S37" s="25"/>
      <c r="T37" s="25"/>
    </row>
    <row r="38" spans="1:20" ht="15.75" customHeight="1" x14ac:dyDescent="0.25">
      <c r="A38" s="5" t="s">
        <v>19</v>
      </c>
      <c r="B38" s="81"/>
      <c r="C38" s="81"/>
      <c r="D38" s="81"/>
      <c r="E38" s="81"/>
      <c r="F38" s="81"/>
      <c r="G38" s="5">
        <v>4.1429999999999998</v>
      </c>
      <c r="H38" s="5">
        <v>39.700000000000003</v>
      </c>
      <c r="I38" s="5">
        <v>46.766149929800946</v>
      </c>
      <c r="J38" s="5">
        <v>59.037807736442389</v>
      </c>
      <c r="K38" s="5">
        <v>70.338083262742046</v>
      </c>
      <c r="L38" s="5">
        <v>70.10598698296188</v>
      </c>
      <c r="M38" s="53">
        <v>79.945737100000002</v>
      </c>
      <c r="N38" s="25"/>
      <c r="O38" s="25"/>
      <c r="P38" s="25"/>
      <c r="Q38" s="25"/>
      <c r="R38" s="25"/>
      <c r="S38" s="25"/>
      <c r="T38" s="25"/>
    </row>
    <row r="39" spans="1:20" ht="15.75" customHeight="1" x14ac:dyDescent="0.25">
      <c r="A39" s="5" t="s">
        <v>15</v>
      </c>
      <c r="B39" s="81"/>
      <c r="C39" s="81"/>
      <c r="D39" s="81"/>
      <c r="E39" s="81"/>
      <c r="F39" s="81"/>
      <c r="G39" s="81">
        <v>8.4</v>
      </c>
      <c r="H39" s="5">
        <v>50</v>
      </c>
      <c r="I39" s="5">
        <v>56.9</v>
      </c>
      <c r="J39" s="5">
        <v>70.599999999999994</v>
      </c>
      <c r="K39" s="5">
        <v>78.5</v>
      </c>
      <c r="L39" s="5">
        <v>82</v>
      </c>
      <c r="M39" s="53">
        <v>85.2</v>
      </c>
      <c r="N39" s="25"/>
      <c r="O39" s="25"/>
      <c r="P39" s="25"/>
      <c r="Q39" s="25"/>
      <c r="R39" s="25"/>
      <c r="S39" s="25"/>
      <c r="T39" s="25"/>
    </row>
    <row r="40" spans="1:20" ht="15.75" customHeight="1" x14ac:dyDescent="0.25">
      <c r="A40" s="118" t="s">
        <v>174</v>
      </c>
      <c r="B40" s="81"/>
      <c r="C40" s="81"/>
      <c r="D40" s="81"/>
      <c r="E40" s="81">
        <v>21.228999999999999</v>
      </c>
      <c r="F40" s="81">
        <v>26.057000000000002</v>
      </c>
      <c r="G40" s="81">
        <v>28.826000000000001</v>
      </c>
      <c r="H40" s="5">
        <v>36.9</v>
      </c>
      <c r="I40" s="5">
        <v>50</v>
      </c>
      <c r="J40" s="5">
        <v>51.4</v>
      </c>
      <c r="K40" s="5">
        <v>52.9</v>
      </c>
      <c r="L40" s="5">
        <v>54.8</v>
      </c>
      <c r="M40" s="53">
        <v>55.273758000000001</v>
      </c>
      <c r="N40" s="25"/>
      <c r="O40" s="25"/>
      <c r="P40" s="25"/>
      <c r="Q40" s="25"/>
      <c r="R40" s="25"/>
      <c r="S40" s="25"/>
      <c r="T40" s="25"/>
    </row>
    <row r="41" spans="1:20" ht="15.75" customHeight="1" x14ac:dyDescent="0.25">
      <c r="A41" s="5" t="s">
        <v>177</v>
      </c>
      <c r="B41" s="81"/>
      <c r="C41" s="81"/>
      <c r="D41" s="81"/>
      <c r="E41" s="81"/>
      <c r="F41" s="81"/>
      <c r="G41" s="5">
        <v>3.48</v>
      </c>
      <c r="H41" s="5">
        <v>5.1619999999999999</v>
      </c>
      <c r="I41" s="5">
        <v>7.0179999999999998</v>
      </c>
      <c r="J41" s="5">
        <v>7.83</v>
      </c>
      <c r="K41" s="5">
        <v>7.3659999999999997</v>
      </c>
      <c r="L41" s="5">
        <v>7.25</v>
      </c>
      <c r="M41" s="128">
        <v>7.2</v>
      </c>
      <c r="N41" s="25"/>
      <c r="O41" s="25"/>
      <c r="P41" s="25"/>
      <c r="Q41" s="25"/>
      <c r="R41" s="25"/>
      <c r="S41" s="25"/>
      <c r="T41" s="25"/>
    </row>
    <row r="42" spans="1:20" ht="15.75" customHeight="1" x14ac:dyDescent="0.25">
      <c r="A42" s="118" t="s">
        <v>328</v>
      </c>
      <c r="B42" s="81"/>
      <c r="C42" s="81"/>
      <c r="D42" s="81"/>
      <c r="E42" s="81"/>
      <c r="F42" s="81">
        <v>31.6</v>
      </c>
      <c r="G42" s="81">
        <v>22.8</v>
      </c>
      <c r="H42" s="5">
        <v>8.6999999999999993</v>
      </c>
      <c r="I42" s="5" t="s">
        <v>331</v>
      </c>
      <c r="J42" s="5"/>
      <c r="K42" s="5"/>
      <c r="L42" s="5"/>
      <c r="M42" s="21"/>
      <c r="N42" s="25"/>
      <c r="O42" s="25"/>
      <c r="P42" s="25"/>
      <c r="Q42" s="25"/>
      <c r="R42" s="25"/>
      <c r="S42" s="25"/>
      <c r="T42" s="25"/>
    </row>
    <row r="43" spans="1:20" ht="15.75" customHeight="1" x14ac:dyDescent="0.25">
      <c r="A43" s="5" t="s">
        <v>247</v>
      </c>
      <c r="B43" s="81"/>
      <c r="C43" s="81"/>
      <c r="D43" s="81"/>
      <c r="E43" s="81"/>
      <c r="F43" s="81"/>
      <c r="G43" s="81"/>
      <c r="H43" s="5">
        <v>1.1000000000000001</v>
      </c>
      <c r="I43" s="5">
        <v>1.3</v>
      </c>
      <c r="J43" s="5"/>
      <c r="K43" s="5"/>
      <c r="L43" s="5"/>
      <c r="M43" s="198"/>
      <c r="N43" s="56"/>
      <c r="O43" s="56"/>
      <c r="P43" s="56"/>
      <c r="Q43" s="56"/>
      <c r="R43" s="56"/>
      <c r="S43" s="56"/>
      <c r="T43" s="56"/>
    </row>
    <row r="44" spans="1:20" ht="15.75" customHeight="1" x14ac:dyDescent="0.25">
      <c r="A44" s="5"/>
      <c r="B44" s="81"/>
      <c r="C44" s="81"/>
      <c r="D44" s="81"/>
      <c r="E44" s="81"/>
      <c r="F44" s="81"/>
      <c r="G44" s="81"/>
      <c r="H44" s="5"/>
      <c r="I44" s="5"/>
      <c r="J44" s="5"/>
      <c r="K44" s="5"/>
      <c r="L44" s="5"/>
      <c r="M44" s="198"/>
      <c r="N44" s="56"/>
      <c r="O44" s="56"/>
      <c r="P44" s="56"/>
      <c r="Q44" s="56"/>
      <c r="R44" s="56"/>
      <c r="S44" s="56"/>
      <c r="T44" s="56"/>
    </row>
    <row r="45" spans="1:20" ht="15.75" customHeight="1" x14ac:dyDescent="0.25">
      <c r="A45" s="9"/>
      <c r="B45" s="11"/>
      <c r="C45" s="11"/>
      <c r="D45" s="11"/>
      <c r="E45" s="11"/>
      <c r="F45" s="11"/>
      <c r="G45" s="11"/>
      <c r="H45" s="9"/>
      <c r="I45" s="9"/>
      <c r="J45" s="9"/>
      <c r="K45" s="9"/>
      <c r="L45" s="9"/>
      <c r="M45" s="56"/>
      <c r="N45" s="56"/>
      <c r="O45" s="56"/>
      <c r="P45" s="56"/>
      <c r="Q45" s="56"/>
      <c r="R45" s="56"/>
      <c r="S45" s="56"/>
      <c r="T45" s="56"/>
    </row>
    <row r="46" spans="1:20" ht="15.75" customHeight="1" x14ac:dyDescent="0.25">
      <c r="A46" s="9"/>
      <c r="B46" s="11"/>
      <c r="C46" s="11"/>
      <c r="D46" s="11"/>
      <c r="E46" s="11"/>
      <c r="F46" s="11"/>
      <c r="G46" s="11"/>
      <c r="H46" s="9"/>
      <c r="I46" s="9"/>
      <c r="J46" s="9"/>
      <c r="K46" s="9"/>
      <c r="L46" s="9"/>
      <c r="M46" s="56"/>
      <c r="N46" s="56"/>
      <c r="O46" s="56"/>
      <c r="P46" s="56"/>
      <c r="Q46" s="56"/>
      <c r="R46" s="56"/>
      <c r="S46" s="56"/>
      <c r="T46" s="56"/>
    </row>
    <row r="47" spans="1:20" ht="15.75" customHeight="1" x14ac:dyDescent="0.25">
      <c r="A47" s="41" t="s">
        <v>350</v>
      </c>
      <c r="B47" s="42">
        <v>716.3</v>
      </c>
      <c r="C47" s="42">
        <v>1242.9000000000001</v>
      </c>
      <c r="D47" s="42">
        <v>1651.4</v>
      </c>
      <c r="E47" s="42">
        <v>2677.4</v>
      </c>
      <c r="F47" s="42">
        <v>4218.5</v>
      </c>
      <c r="G47" s="41">
        <v>5039.3999999999996</v>
      </c>
      <c r="H47" s="41">
        <v>6953.5</v>
      </c>
      <c r="I47" s="185">
        <v>7995.3</v>
      </c>
      <c r="J47" s="185">
        <v>8459.1</v>
      </c>
      <c r="K47" s="185">
        <v>8560.7999999999993</v>
      </c>
      <c r="L47" s="185">
        <v>8793.9</v>
      </c>
      <c r="M47" s="201">
        <v>8922.4</v>
      </c>
      <c r="N47" s="56"/>
      <c r="O47" s="56"/>
      <c r="P47" s="56"/>
      <c r="Q47" s="56"/>
      <c r="R47" s="56"/>
      <c r="S47" s="56"/>
      <c r="T47" s="56"/>
    </row>
    <row r="48" spans="1:20" ht="15.75" customHeight="1" x14ac:dyDescent="0.25">
      <c r="A48" s="9" t="s">
        <v>42</v>
      </c>
      <c r="B48" s="48">
        <f>'CableSatIPTV (MS)'!B48</f>
        <v>41.114058355437663</v>
      </c>
      <c r="C48" s="48">
        <f>'CableSatIPTV (MS)'!C48</f>
        <v>53.809638748089135</v>
      </c>
      <c r="D48" s="48">
        <f>'CableSatIPTV (MS)'!D48</f>
        <v>69.171611965604939</v>
      </c>
      <c r="E48" s="48">
        <f>'CableSatIPTV (MS)'!E48</f>
        <v>84.976171434974233</v>
      </c>
      <c r="F48" s="48">
        <f>'CableSatIPTV (MS)'!F48</f>
        <v>75.164345114247411</v>
      </c>
      <c r="G48" s="48">
        <f>'CableSatIPTV (MS)'!G48</f>
        <v>87.109576536889321</v>
      </c>
      <c r="H48" s="48">
        <f>'CableSatIPTV (MS)'!H48</f>
        <v>83.329258646724668</v>
      </c>
      <c r="I48" s="48">
        <f>'CableSatIPTV (MS)'!I48</f>
        <v>85.053719059947724</v>
      </c>
      <c r="J48" s="48">
        <f>'CableSatIPTV (MS)'!J48</f>
        <v>84.115331418235968</v>
      </c>
      <c r="K48" s="48">
        <f>'CableSatIPTV (MS)'!K48</f>
        <v>82.25633118400151</v>
      </c>
      <c r="L48" s="57">
        <f>'CableSatIPTV (MS)'!L48</f>
        <v>80.612231205722154</v>
      </c>
      <c r="M48" s="57">
        <f>'CableSatIPTV (MS)'!M48</f>
        <v>82.150542454944855</v>
      </c>
      <c r="N48" s="25"/>
      <c r="O48" s="25"/>
      <c r="P48" s="25"/>
      <c r="Q48" s="25"/>
      <c r="R48" s="25"/>
      <c r="S48" s="25"/>
      <c r="T48" s="25"/>
    </row>
    <row r="49" spans="1:20" ht="15.75" customHeight="1" x14ac:dyDescent="0.25">
      <c r="A49" s="9" t="s">
        <v>43</v>
      </c>
      <c r="B49" s="48">
        <f>'CableSatIPTV (MS)'!B49</f>
        <v>760.65637301246875</v>
      </c>
      <c r="C49" s="48">
        <f>'CableSatIPTV (MS)'!C49</f>
        <v>1010.9557777758484</v>
      </c>
      <c r="D49" s="48">
        <f>'CableSatIPTV (MS)'!D49</f>
        <v>1599.1150978814303</v>
      </c>
      <c r="E49" s="48">
        <f>'CableSatIPTV (MS)'!E49</f>
        <v>2314.5581864967471</v>
      </c>
      <c r="F49" s="48">
        <f>'CableSatIPTV (MS)'!F49</f>
        <v>1728.8963126933834</v>
      </c>
      <c r="G49" s="48">
        <f>'CableSatIPTV (MS)'!G49</f>
        <v>2205.6926218266995</v>
      </c>
      <c r="H49" s="48">
        <f>'CableSatIPTV (MS)'!H49</f>
        <v>1947.8814498903726</v>
      </c>
      <c r="I49" s="48">
        <f>'CableSatIPTV (MS)'!I49</f>
        <v>2032.0632426852358</v>
      </c>
      <c r="J49" s="48">
        <f>'CableSatIPTV (MS)'!J49</f>
        <v>1980.7016969431977</v>
      </c>
      <c r="K49" s="48">
        <f>'CableSatIPTV (MS)'!K49</f>
        <v>1882.6753670593846</v>
      </c>
      <c r="L49" s="57">
        <f>'CableSatIPTV (MS)'!L49</f>
        <v>1818.6934115554773</v>
      </c>
      <c r="M49" s="57">
        <f>'CableSatIPTV (MS)'!M49</f>
        <v>1924.4610907916306</v>
      </c>
      <c r="N49" s="25"/>
      <c r="O49" s="25"/>
      <c r="P49" s="25"/>
      <c r="Q49" s="25"/>
      <c r="R49" s="25"/>
      <c r="S49" s="25"/>
      <c r="T49" s="25"/>
    </row>
    <row r="50" spans="1:20" ht="15.75" customHeight="1" x14ac:dyDescent="0.25">
      <c r="A50" s="9"/>
      <c r="B50" s="9"/>
      <c r="C50" s="9"/>
      <c r="D50" s="9"/>
      <c r="E50" s="9"/>
      <c r="F50" s="9"/>
      <c r="G50" s="9"/>
      <c r="H50" s="9"/>
      <c r="I50" s="9"/>
      <c r="J50" s="9"/>
      <c r="K50" s="9"/>
      <c r="L50" s="9"/>
      <c r="M50" s="25"/>
      <c r="N50" s="25"/>
      <c r="O50" s="25"/>
      <c r="P50" s="25"/>
      <c r="Q50" s="25"/>
      <c r="R50" s="25"/>
      <c r="S50" s="25"/>
      <c r="T50" s="25"/>
    </row>
    <row r="51" spans="1:20" ht="15.75" customHeight="1" x14ac:dyDescent="0.25">
      <c r="A51" s="9"/>
      <c r="B51" s="633" t="s">
        <v>305</v>
      </c>
      <c r="C51" s="623"/>
      <c r="D51" s="623"/>
      <c r="E51" s="245"/>
      <c r="F51" s="9"/>
      <c r="G51" s="9"/>
      <c r="H51" s="25"/>
      <c r="I51" s="25"/>
      <c r="J51" s="25"/>
      <c r="K51" s="25"/>
      <c r="L51" s="25"/>
      <c r="M51" s="25"/>
      <c r="N51" s="25"/>
      <c r="O51" s="25"/>
      <c r="P51" s="25"/>
      <c r="Q51" s="25"/>
      <c r="R51" s="25"/>
      <c r="S51" s="25"/>
      <c r="T51" s="25"/>
    </row>
    <row r="52" spans="1:20" ht="15.75" customHeight="1" x14ac:dyDescent="0.25">
      <c r="A52" s="9"/>
      <c r="B52" s="630" t="s">
        <v>438</v>
      </c>
      <c r="C52" s="623"/>
      <c r="D52" s="623"/>
      <c r="E52" s="623"/>
      <c r="F52" s="623"/>
      <c r="G52" s="623"/>
      <c r="H52" s="623"/>
      <c r="I52" s="623"/>
      <c r="J52" s="623"/>
      <c r="K52" s="623"/>
      <c r="L52" s="623"/>
      <c r="M52" s="623"/>
      <c r="N52" s="25"/>
      <c r="O52" s="25"/>
      <c r="P52" s="25"/>
      <c r="Q52" s="25"/>
      <c r="R52" s="25"/>
      <c r="S52" s="25"/>
      <c r="T52" s="25"/>
    </row>
    <row r="53" spans="1:20" ht="15.75" customHeight="1" x14ac:dyDescent="0.25">
      <c r="A53" s="9"/>
      <c r="B53" s="623"/>
      <c r="C53" s="623"/>
      <c r="D53" s="623"/>
      <c r="E53" s="623"/>
      <c r="F53" s="623"/>
      <c r="G53" s="623"/>
      <c r="H53" s="623"/>
      <c r="I53" s="623"/>
      <c r="J53" s="623"/>
      <c r="K53" s="623"/>
      <c r="L53" s="623"/>
      <c r="M53" s="623"/>
      <c r="N53" s="25"/>
      <c r="O53" s="25"/>
      <c r="P53" s="25"/>
      <c r="Q53" s="25"/>
      <c r="R53" s="25"/>
      <c r="S53" s="25"/>
      <c r="T53" s="25"/>
    </row>
    <row r="54" spans="1:20" ht="15.75" customHeight="1" x14ac:dyDescent="0.25">
      <c r="A54" s="9"/>
      <c r="B54" s="623"/>
      <c r="C54" s="623"/>
      <c r="D54" s="623"/>
      <c r="E54" s="623"/>
      <c r="F54" s="623"/>
      <c r="G54" s="623"/>
      <c r="H54" s="623"/>
      <c r="I54" s="623"/>
      <c r="J54" s="623"/>
      <c r="K54" s="623"/>
      <c r="L54" s="623"/>
      <c r="M54" s="623"/>
      <c r="N54" s="25"/>
      <c r="O54" s="25"/>
      <c r="P54" s="25"/>
      <c r="Q54" s="25"/>
      <c r="R54" s="25"/>
      <c r="S54" s="25"/>
      <c r="T54" s="25"/>
    </row>
    <row r="55" spans="1:20" ht="15.75" customHeight="1" x14ac:dyDescent="0.25">
      <c r="A55" s="9"/>
      <c r="B55" s="623"/>
      <c r="C55" s="623"/>
      <c r="D55" s="623"/>
      <c r="E55" s="623"/>
      <c r="F55" s="623"/>
      <c r="G55" s="623"/>
      <c r="H55" s="623"/>
      <c r="I55" s="623"/>
      <c r="J55" s="623"/>
      <c r="K55" s="623"/>
      <c r="L55" s="623"/>
      <c r="M55" s="623"/>
      <c r="N55" s="25"/>
      <c r="O55" s="25"/>
      <c r="P55" s="25"/>
      <c r="Q55" s="25"/>
      <c r="R55" s="25"/>
      <c r="S55" s="25"/>
      <c r="T55" s="25"/>
    </row>
    <row r="56" spans="1:20" ht="15.75" customHeight="1" x14ac:dyDescent="0.25">
      <c r="A56" s="9"/>
      <c r="B56" s="623"/>
      <c r="C56" s="623"/>
      <c r="D56" s="623"/>
      <c r="E56" s="623"/>
      <c r="F56" s="623"/>
      <c r="G56" s="623"/>
      <c r="H56" s="623"/>
      <c r="I56" s="623"/>
      <c r="J56" s="623"/>
      <c r="K56" s="623"/>
      <c r="L56" s="623"/>
      <c r="M56" s="623"/>
      <c r="N56" s="25"/>
      <c r="O56" s="25"/>
      <c r="P56" s="25"/>
      <c r="Q56" s="25"/>
      <c r="R56" s="25"/>
      <c r="S56" s="25"/>
      <c r="T56" s="25"/>
    </row>
    <row r="57" spans="1:20" ht="15.75" customHeight="1" x14ac:dyDescent="0.25">
      <c r="A57" s="9"/>
      <c r="B57" s="623"/>
      <c r="C57" s="623"/>
      <c r="D57" s="623"/>
      <c r="E57" s="623"/>
      <c r="F57" s="623"/>
      <c r="G57" s="623"/>
      <c r="H57" s="623"/>
      <c r="I57" s="623"/>
      <c r="J57" s="623"/>
      <c r="K57" s="623"/>
      <c r="L57" s="623"/>
      <c r="M57" s="623"/>
      <c r="N57" s="25"/>
      <c r="O57" s="25"/>
      <c r="P57" s="25"/>
      <c r="Q57" s="25"/>
      <c r="R57" s="25"/>
      <c r="S57" s="25"/>
      <c r="T57" s="25"/>
    </row>
    <row r="58" spans="1:20" ht="15.75" customHeight="1" x14ac:dyDescent="0.25">
      <c r="A58" s="9"/>
      <c r="B58" s="623"/>
      <c r="C58" s="623"/>
      <c r="D58" s="623"/>
      <c r="E58" s="623"/>
      <c r="F58" s="623"/>
      <c r="G58" s="623"/>
      <c r="H58" s="623"/>
      <c r="I58" s="623"/>
      <c r="J58" s="623"/>
      <c r="K58" s="623"/>
      <c r="L58" s="623"/>
      <c r="M58" s="623"/>
      <c r="N58" s="25"/>
      <c r="O58" s="25"/>
      <c r="P58" s="25"/>
      <c r="Q58" s="25"/>
      <c r="R58" s="25"/>
      <c r="S58" s="25"/>
      <c r="T58" s="25"/>
    </row>
    <row r="59" spans="1:20" ht="15.75" customHeight="1" x14ac:dyDescent="0.25">
      <c r="A59" s="9"/>
      <c r="B59" s="623"/>
      <c r="C59" s="623"/>
      <c r="D59" s="623"/>
      <c r="E59" s="623"/>
      <c r="F59" s="623"/>
      <c r="G59" s="623"/>
      <c r="H59" s="623"/>
      <c r="I59" s="623"/>
      <c r="J59" s="623"/>
      <c r="K59" s="623"/>
      <c r="L59" s="623"/>
      <c r="M59" s="623"/>
      <c r="N59" s="25"/>
      <c r="O59" s="25"/>
      <c r="P59" s="25"/>
      <c r="Q59" s="25"/>
      <c r="R59" s="25"/>
      <c r="S59" s="25"/>
      <c r="T59" s="25"/>
    </row>
    <row r="60" spans="1:20" ht="15.75" customHeight="1" x14ac:dyDescent="0.25">
      <c r="A60" s="9"/>
      <c r="B60" s="623"/>
      <c r="C60" s="623"/>
      <c r="D60" s="623"/>
      <c r="E60" s="623"/>
      <c r="F60" s="623"/>
      <c r="G60" s="623"/>
      <c r="H60" s="623"/>
      <c r="I60" s="623"/>
      <c r="J60" s="623"/>
      <c r="K60" s="623"/>
      <c r="L60" s="623"/>
      <c r="M60" s="623"/>
      <c r="N60" s="25"/>
      <c r="O60" s="25"/>
      <c r="P60" s="25"/>
      <c r="Q60" s="25"/>
      <c r="R60" s="25"/>
      <c r="S60" s="25"/>
      <c r="T60" s="25"/>
    </row>
    <row r="61" spans="1:20" ht="15.75" customHeight="1" x14ac:dyDescent="0.25">
      <c r="A61" s="9"/>
      <c r="B61" s="623"/>
      <c r="C61" s="623"/>
      <c r="D61" s="623"/>
      <c r="E61" s="623"/>
      <c r="F61" s="623"/>
      <c r="G61" s="623"/>
      <c r="H61" s="623"/>
      <c r="I61" s="623"/>
      <c r="J61" s="623"/>
      <c r="K61" s="623"/>
      <c r="L61" s="623"/>
      <c r="M61" s="623"/>
      <c r="N61" s="25"/>
      <c r="O61" s="25"/>
      <c r="P61" s="25"/>
      <c r="Q61" s="25"/>
      <c r="R61" s="25"/>
      <c r="S61" s="25"/>
      <c r="T61" s="25"/>
    </row>
    <row r="62" spans="1:20" ht="15.75" customHeight="1" x14ac:dyDescent="0.25">
      <c r="A62" s="9"/>
      <c r="B62" s="623"/>
      <c r="C62" s="623"/>
      <c r="D62" s="623"/>
      <c r="E62" s="623"/>
      <c r="F62" s="623"/>
      <c r="G62" s="623"/>
      <c r="H62" s="623"/>
      <c r="I62" s="623"/>
      <c r="J62" s="623"/>
      <c r="K62" s="623"/>
      <c r="L62" s="623"/>
      <c r="M62" s="623"/>
      <c r="N62" s="25"/>
      <c r="O62" s="25"/>
      <c r="P62" s="25"/>
      <c r="Q62" s="25"/>
      <c r="R62" s="25"/>
      <c r="S62" s="25"/>
      <c r="T62" s="25"/>
    </row>
    <row r="63" spans="1:20" ht="15.75" customHeight="1" x14ac:dyDescent="0.25">
      <c r="A63" s="9"/>
      <c r="B63" s="623"/>
      <c r="C63" s="623"/>
      <c r="D63" s="623"/>
      <c r="E63" s="623"/>
      <c r="F63" s="623"/>
      <c r="G63" s="623"/>
      <c r="H63" s="623"/>
      <c r="I63" s="623"/>
      <c r="J63" s="623"/>
      <c r="K63" s="623"/>
      <c r="L63" s="623"/>
      <c r="M63" s="623"/>
      <c r="N63" s="25"/>
      <c r="O63" s="25"/>
      <c r="P63" s="25"/>
      <c r="Q63" s="25"/>
      <c r="R63" s="25"/>
      <c r="S63" s="25"/>
      <c r="T63" s="25"/>
    </row>
    <row r="64" spans="1:20" ht="15.75" customHeight="1" x14ac:dyDescent="0.25">
      <c r="A64" s="9"/>
      <c r="B64" s="623"/>
      <c r="C64" s="623"/>
      <c r="D64" s="623"/>
      <c r="E64" s="623"/>
      <c r="F64" s="623"/>
      <c r="G64" s="623"/>
      <c r="H64" s="623"/>
      <c r="I64" s="623"/>
      <c r="J64" s="623"/>
      <c r="K64" s="623"/>
      <c r="L64" s="623"/>
      <c r="M64" s="623"/>
      <c r="N64" s="25"/>
      <c r="O64" s="25"/>
      <c r="P64" s="25"/>
      <c r="Q64" s="25"/>
      <c r="R64" s="25"/>
      <c r="S64" s="25"/>
      <c r="T64" s="25"/>
    </row>
    <row r="65" spans="1:20" ht="15.75" customHeight="1" x14ac:dyDescent="0.25">
      <c r="A65" s="9"/>
      <c r="B65" s="623"/>
      <c r="C65" s="623"/>
      <c r="D65" s="623"/>
      <c r="E65" s="623"/>
      <c r="F65" s="623"/>
      <c r="G65" s="623"/>
      <c r="H65" s="623"/>
      <c r="I65" s="623"/>
      <c r="J65" s="623"/>
      <c r="K65" s="623"/>
      <c r="L65" s="623"/>
      <c r="M65" s="623"/>
      <c r="N65" s="25"/>
      <c r="O65" s="25"/>
      <c r="P65" s="25"/>
      <c r="Q65" s="25"/>
      <c r="R65" s="25"/>
      <c r="S65" s="25"/>
      <c r="T65" s="25"/>
    </row>
    <row r="66" spans="1:20" ht="15.75" customHeight="1" x14ac:dyDescent="0.25">
      <c r="A66" s="9"/>
      <c r="B66" s="623"/>
      <c r="C66" s="623"/>
      <c r="D66" s="623"/>
      <c r="E66" s="623"/>
      <c r="F66" s="623"/>
      <c r="G66" s="623"/>
      <c r="H66" s="623"/>
      <c r="I66" s="623"/>
      <c r="J66" s="623"/>
      <c r="K66" s="623"/>
      <c r="L66" s="623"/>
      <c r="M66" s="623"/>
      <c r="N66" s="25"/>
      <c r="O66" s="25"/>
      <c r="P66" s="25"/>
      <c r="Q66" s="25"/>
      <c r="R66" s="25"/>
      <c r="S66" s="25"/>
      <c r="T66" s="25"/>
    </row>
    <row r="67" spans="1:20" ht="15.75" customHeight="1" x14ac:dyDescent="0.25">
      <c r="A67" s="9"/>
      <c r="B67" s="623"/>
      <c r="C67" s="623"/>
      <c r="D67" s="623"/>
      <c r="E67" s="623"/>
      <c r="F67" s="623"/>
      <c r="G67" s="623"/>
      <c r="H67" s="623"/>
      <c r="I67" s="623"/>
      <c r="J67" s="623"/>
      <c r="K67" s="623"/>
      <c r="L67" s="623"/>
      <c r="M67" s="623"/>
      <c r="N67" s="25"/>
      <c r="O67" s="25"/>
      <c r="P67" s="25"/>
      <c r="Q67" s="25"/>
      <c r="R67" s="25"/>
      <c r="S67" s="25"/>
      <c r="T67" s="25"/>
    </row>
    <row r="68" spans="1:20" ht="15.75" customHeight="1" x14ac:dyDescent="0.25">
      <c r="A68" s="9"/>
      <c r="B68" s="623"/>
      <c r="C68" s="623"/>
      <c r="D68" s="623"/>
      <c r="E68" s="623"/>
      <c r="F68" s="623"/>
      <c r="G68" s="623"/>
      <c r="H68" s="623"/>
      <c r="I68" s="623"/>
      <c r="J68" s="623"/>
      <c r="K68" s="623"/>
      <c r="L68" s="623"/>
      <c r="M68" s="623"/>
      <c r="N68" s="25"/>
      <c r="O68" s="25"/>
      <c r="P68" s="25"/>
      <c r="Q68" s="25"/>
      <c r="R68" s="25"/>
      <c r="S68" s="25"/>
      <c r="T68" s="25"/>
    </row>
    <row r="69" spans="1:20" ht="15.75" customHeight="1" x14ac:dyDescent="0.25">
      <c r="A69" s="9"/>
      <c r="B69" s="623"/>
      <c r="C69" s="623"/>
      <c r="D69" s="623"/>
      <c r="E69" s="623"/>
      <c r="F69" s="623"/>
      <c r="G69" s="623"/>
      <c r="H69" s="623"/>
      <c r="I69" s="623"/>
      <c r="J69" s="623"/>
      <c r="K69" s="623"/>
      <c r="L69" s="623"/>
      <c r="M69" s="623"/>
      <c r="N69" s="25"/>
      <c r="O69" s="25"/>
      <c r="P69" s="25"/>
      <c r="Q69" s="25"/>
      <c r="R69" s="25"/>
      <c r="S69" s="25"/>
      <c r="T69" s="25"/>
    </row>
    <row r="70" spans="1:20" ht="15.75" customHeight="1" x14ac:dyDescent="0.25">
      <c r="A70" s="9"/>
      <c r="B70" s="623"/>
      <c r="C70" s="623"/>
      <c r="D70" s="623"/>
      <c r="E70" s="623"/>
      <c r="F70" s="623"/>
      <c r="G70" s="623"/>
      <c r="H70" s="623"/>
      <c r="I70" s="623"/>
      <c r="J70" s="623"/>
      <c r="K70" s="623"/>
      <c r="L70" s="623"/>
      <c r="M70" s="623"/>
      <c r="N70" s="25"/>
      <c r="O70" s="25"/>
      <c r="P70" s="25"/>
      <c r="Q70" s="25"/>
      <c r="R70" s="25"/>
      <c r="S70" s="25"/>
      <c r="T70" s="25"/>
    </row>
    <row r="71" spans="1:20" ht="15.75" customHeight="1" x14ac:dyDescent="0.25">
      <c r="A71" s="9"/>
      <c r="B71" s="623"/>
      <c r="C71" s="623"/>
      <c r="D71" s="623"/>
      <c r="E71" s="623"/>
      <c r="F71" s="623"/>
      <c r="G71" s="623"/>
      <c r="H71" s="623"/>
      <c r="I71" s="623"/>
      <c r="J71" s="623"/>
      <c r="K71" s="623"/>
      <c r="L71" s="623"/>
      <c r="M71" s="623"/>
      <c r="N71" s="25"/>
      <c r="O71" s="25"/>
      <c r="P71" s="25"/>
      <c r="Q71" s="25"/>
      <c r="R71" s="25"/>
      <c r="S71" s="25"/>
      <c r="T71" s="25"/>
    </row>
    <row r="72" spans="1:20" ht="15.75" customHeight="1" x14ac:dyDescent="0.25">
      <c r="A72" s="9"/>
      <c r="B72" s="623"/>
      <c r="C72" s="623"/>
      <c r="D72" s="623"/>
      <c r="E72" s="623"/>
      <c r="F72" s="623"/>
      <c r="G72" s="623"/>
      <c r="H72" s="623"/>
      <c r="I72" s="623"/>
      <c r="J72" s="623"/>
      <c r="K72" s="623"/>
      <c r="L72" s="623"/>
      <c r="M72" s="623"/>
      <c r="N72" s="25"/>
      <c r="O72" s="25"/>
      <c r="P72" s="25"/>
      <c r="Q72" s="25"/>
      <c r="R72" s="25"/>
      <c r="S72" s="25"/>
      <c r="T72" s="25"/>
    </row>
    <row r="73" spans="1:20" ht="15.75" customHeight="1" x14ac:dyDescent="0.25">
      <c r="A73" s="9"/>
      <c r="B73" s="623"/>
      <c r="C73" s="623"/>
      <c r="D73" s="623"/>
      <c r="E73" s="623"/>
      <c r="F73" s="623"/>
      <c r="G73" s="623"/>
      <c r="H73" s="623"/>
      <c r="I73" s="623"/>
      <c r="J73" s="623"/>
      <c r="K73" s="623"/>
      <c r="L73" s="623"/>
      <c r="M73" s="623"/>
      <c r="N73" s="25"/>
      <c r="O73" s="25"/>
      <c r="P73" s="25"/>
      <c r="Q73" s="25"/>
      <c r="R73" s="25"/>
      <c r="S73" s="25"/>
      <c r="T73" s="25"/>
    </row>
    <row r="74" spans="1:20" ht="15.75" customHeight="1" x14ac:dyDescent="0.25">
      <c r="A74" s="9"/>
      <c r="B74" s="623"/>
      <c r="C74" s="623"/>
      <c r="D74" s="623"/>
      <c r="E74" s="623"/>
      <c r="F74" s="623"/>
      <c r="G74" s="623"/>
      <c r="H74" s="623"/>
      <c r="I74" s="623"/>
      <c r="J74" s="623"/>
      <c r="K74" s="623"/>
      <c r="L74" s="623"/>
      <c r="M74" s="623"/>
      <c r="N74" s="25"/>
      <c r="O74" s="25"/>
      <c r="P74" s="25"/>
      <c r="Q74" s="25"/>
      <c r="R74" s="25"/>
      <c r="S74" s="25"/>
      <c r="T74" s="25"/>
    </row>
    <row r="75" spans="1:20" ht="15.75" customHeight="1" x14ac:dyDescent="0.25">
      <c r="A75" s="9"/>
      <c r="B75" s="623"/>
      <c r="C75" s="623"/>
      <c r="D75" s="623"/>
      <c r="E75" s="623"/>
      <c r="F75" s="623"/>
      <c r="G75" s="623"/>
      <c r="H75" s="623"/>
      <c r="I75" s="623"/>
      <c r="J75" s="623"/>
      <c r="K75" s="623"/>
      <c r="L75" s="623"/>
      <c r="M75" s="623"/>
      <c r="N75" s="25"/>
      <c r="O75" s="25"/>
      <c r="P75" s="25"/>
      <c r="Q75" s="25"/>
      <c r="R75" s="25"/>
      <c r="S75" s="25"/>
      <c r="T75" s="25"/>
    </row>
    <row r="76" spans="1:20" ht="15.75" customHeight="1" x14ac:dyDescent="0.25">
      <c r="A76" s="9"/>
      <c r="B76" s="623"/>
      <c r="C76" s="623"/>
      <c r="D76" s="623"/>
      <c r="E76" s="623"/>
      <c r="F76" s="623"/>
      <c r="G76" s="623"/>
      <c r="H76" s="623"/>
      <c r="I76" s="623"/>
      <c r="J76" s="623"/>
      <c r="K76" s="623"/>
      <c r="L76" s="623"/>
      <c r="M76" s="623"/>
      <c r="N76" s="25"/>
      <c r="O76" s="25"/>
      <c r="P76" s="25"/>
      <c r="Q76" s="25"/>
      <c r="R76" s="25"/>
      <c r="S76" s="25"/>
      <c r="T76" s="25"/>
    </row>
  </sheetData>
  <mergeCells count="4">
    <mergeCell ref="B1:M1"/>
    <mergeCell ref="B52:M76"/>
    <mergeCell ref="B51:D51"/>
    <mergeCell ref="O6:T17"/>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1.375" customWidth="1"/>
    <col min="2" max="2" width="10.875" customWidth="1"/>
    <col min="3" max="3" width="13" customWidth="1"/>
    <col min="4" max="6" width="13.875" customWidth="1"/>
    <col min="7" max="7" width="19.375" customWidth="1"/>
    <col min="8" max="8" width="10.75" customWidth="1"/>
    <col min="9" max="9" width="14.75" customWidth="1"/>
    <col min="10" max="20" width="10.75" customWidth="1"/>
  </cols>
  <sheetData>
    <row r="1" spans="1:20" ht="18" customHeight="1" x14ac:dyDescent="0.25">
      <c r="A1" s="60"/>
      <c r="B1" s="634"/>
      <c r="C1" s="623"/>
      <c r="D1" s="623"/>
      <c r="E1" s="623"/>
      <c r="F1" s="623"/>
      <c r="G1" s="623"/>
      <c r="H1" s="623"/>
      <c r="I1" s="623"/>
      <c r="J1" s="623"/>
      <c r="K1" s="623"/>
      <c r="L1" s="623"/>
      <c r="M1" s="623"/>
      <c r="N1" s="66"/>
      <c r="O1" s="66"/>
      <c r="P1" s="66"/>
      <c r="Q1" s="66"/>
      <c r="R1" s="66"/>
      <c r="S1" s="66"/>
      <c r="T1" s="66"/>
    </row>
    <row r="2" spans="1:20" ht="15.75" customHeight="1" x14ac:dyDescent="0.25">
      <c r="A2" s="4"/>
      <c r="B2" s="4">
        <v>1984</v>
      </c>
      <c r="C2" s="4">
        <v>1988</v>
      </c>
      <c r="D2" s="4">
        <v>1992</v>
      </c>
      <c r="E2" s="4">
        <v>1996</v>
      </c>
      <c r="F2" s="4">
        <v>2000</v>
      </c>
      <c r="G2" s="4">
        <v>2004</v>
      </c>
      <c r="H2" s="4">
        <v>2008</v>
      </c>
      <c r="I2" s="4">
        <v>2010</v>
      </c>
      <c r="J2" s="4">
        <v>2011</v>
      </c>
      <c r="K2" s="4">
        <v>2012</v>
      </c>
      <c r="L2" s="4">
        <v>2013</v>
      </c>
      <c r="M2" s="3">
        <v>2014</v>
      </c>
      <c r="N2" s="3"/>
      <c r="O2" s="3"/>
      <c r="P2" s="3"/>
      <c r="Q2" s="3"/>
      <c r="R2" s="3"/>
      <c r="S2" s="3"/>
      <c r="T2" s="3"/>
    </row>
    <row r="3" spans="1:20" ht="15.75" customHeight="1" x14ac:dyDescent="0.2">
      <c r="A3" s="5" t="s">
        <v>61</v>
      </c>
      <c r="B3" s="72">
        <f>('CableSatIPTV (RV)'!B3)/('CableSatIPTV (RV)'!B47)*100</f>
        <v>4.886220857182745</v>
      </c>
      <c r="C3" s="72">
        <f>('CableSatIPTV (RV)'!C3)/('CableSatIPTV (RV)'!C47)*100</f>
        <v>5.0285622334862019</v>
      </c>
      <c r="D3" s="72">
        <f>('CableSatIPTV (RV)'!D3)/('CableSatIPTV (RV)'!D47)*100</f>
        <v>9.9673004723265102</v>
      </c>
      <c r="E3" s="72">
        <f>('CableSatIPTV (RV)'!E3)/('CableSatIPTV (RV)'!E47)*100</f>
        <v>19.959662359005005</v>
      </c>
      <c r="F3" s="72">
        <f>('CableSatIPTV (RV)'!F3)/('CableSatIPTV (RV)'!F47)*100</f>
        <v>28.218561099917032</v>
      </c>
      <c r="G3" s="72">
        <f>('CableSatIPTV (RV)'!G3)/('CableSatIPTV (RV)'!G47)*100</f>
        <v>31.243798864944246</v>
      </c>
      <c r="H3" s="72">
        <f>('CableSatIPTV (RV)'!H3)/('CableSatIPTV (RV)'!H47)*100</f>
        <v>28.440353778672613</v>
      </c>
      <c r="I3" s="72">
        <f>('CableSatIPTV (RV)'!I3)/('CableSatIPTV (RV)'!I47)*100</f>
        <v>29.187147449126368</v>
      </c>
      <c r="J3" s="72">
        <f>('CableSatIPTV (RV)'!J3)/('CableSatIPTV (RV)'!J47)*100</f>
        <v>28.013618470050002</v>
      </c>
      <c r="K3" s="72">
        <f>('CableSatIPTV (RV)'!K3)/('CableSatIPTV (RV)'!K47)*100</f>
        <v>25.459069245864875</v>
      </c>
      <c r="L3" s="72">
        <f>('CableSatIPTV (RV)'!L3)/('CableSatIPTV (RV)'!L47)*100</f>
        <v>24.154243282275214</v>
      </c>
      <c r="M3" s="72">
        <f>('CableSatIPTV (RV)'!M3)/('CableSatIPTV (RV)'!M47)*100</f>
        <v>23.873621447144266</v>
      </c>
      <c r="N3" s="5"/>
      <c r="O3" s="5"/>
      <c r="P3" s="5"/>
      <c r="Q3" s="5"/>
      <c r="R3" s="5"/>
      <c r="S3" s="5"/>
      <c r="T3" s="5"/>
    </row>
    <row r="4" spans="1:20" ht="15.75" customHeight="1" x14ac:dyDescent="0.2">
      <c r="A4" s="95" t="s">
        <v>77</v>
      </c>
      <c r="B4" s="97"/>
      <c r="C4" s="97"/>
      <c r="D4" s="97"/>
      <c r="E4" s="150">
        <f>('CableSatIPTV (RV)'!E4)/('CableSatIPTV (RV)'!E47)*100</f>
        <v>19.959662359005005</v>
      </c>
      <c r="F4" s="150">
        <f>('CableSatIPTV (RV)'!F4)/('CableSatIPTV (RV)'!F47)*100</f>
        <v>16.188218561099916</v>
      </c>
      <c r="G4" s="150">
        <f>('CableSatIPTV (RV)'!G4)/('CableSatIPTV (RV)'!G47)*100</f>
        <v>21.01652993621574</v>
      </c>
      <c r="H4" s="150">
        <f>('CableSatIPTV (RV)'!H4)/('CableSatIPTV (RV)'!H47)*100</f>
        <v>19.082476450708278</v>
      </c>
      <c r="I4" s="150">
        <f>('CableSatIPTV (RV)'!I4)/('CableSatIPTV (RV)'!I47)*100</f>
        <v>20.204370067414608</v>
      </c>
      <c r="J4" s="150">
        <f>('CableSatIPTV (RV)'!J4)/('CableSatIPTV (RV)'!J47)*100</f>
        <v>19.257367805085646</v>
      </c>
      <c r="K4" s="150">
        <f>('CableSatIPTV (RV)'!K4)/('CableSatIPTV (RV)'!K47)*100</f>
        <v>16.800999906550789</v>
      </c>
      <c r="L4" s="150">
        <f>('CableSatIPTV (RV)'!L4)/('CableSatIPTV (RV)'!L47)*100</f>
        <v>15.707479047976438</v>
      </c>
      <c r="M4" s="150">
        <f>('CableSatIPTV (RV)'!M4)/('CableSatIPTV (RV)'!M47)*100</f>
        <v>15.346678023850085</v>
      </c>
      <c r="N4" s="95"/>
      <c r="O4" s="95"/>
      <c r="P4" s="95"/>
      <c r="Q4" s="95"/>
      <c r="R4" s="95"/>
      <c r="S4" s="95"/>
      <c r="T4" s="95"/>
    </row>
    <row r="5" spans="1:20" ht="15.75" customHeight="1" x14ac:dyDescent="0.2">
      <c r="A5" s="95" t="s">
        <v>113</v>
      </c>
      <c r="B5" s="95"/>
      <c r="C5" s="95"/>
      <c r="D5" s="95"/>
      <c r="E5" s="95"/>
      <c r="F5" s="150">
        <f>('CableSatIPTV (RV)'!F5)/('CableSatIPTV (RV)'!F47)*100</f>
        <v>8.9889771245703454</v>
      </c>
      <c r="G5" s="150">
        <f>('CableSatIPTV (RV)'!G5)/('CableSatIPTV (RV)'!G47)*100</f>
        <v>11.672024447354845</v>
      </c>
      <c r="H5" s="150">
        <f>('CableSatIPTV (RV)'!H5)/('CableSatIPTV (RV)'!H47)*100</f>
        <v>9.357877327964335</v>
      </c>
      <c r="I5" s="150">
        <f>('CableSatIPTV (RV)'!I5)/('CableSatIPTV (RV)'!I47)*100</f>
        <v>8.982777381711756</v>
      </c>
      <c r="J5" s="150">
        <f>('CableSatIPTV (RV)'!J5)/('CableSatIPTV (RV)'!J47)*100</f>
        <v>8.7562506649643588</v>
      </c>
      <c r="K5" s="150">
        <f>('CableSatIPTV (RV)'!K5)/('CableSatIPTV (RV)'!K47)*100</f>
        <v>8.6580693393140837</v>
      </c>
      <c r="L5" s="150">
        <f>('CableSatIPTV (RV)'!L5)/('CableSatIPTV (RV)'!L47)*100</f>
        <v>8.4467642342987741</v>
      </c>
      <c r="M5" s="150">
        <f>('CableSatIPTV (RV)'!M5)/('CableSatIPTV (RV)'!M47)*100</f>
        <v>8.5269882542813598</v>
      </c>
      <c r="N5" s="95"/>
      <c r="O5" s="95"/>
      <c r="P5" s="95"/>
      <c r="Q5" s="95"/>
      <c r="R5" s="95"/>
      <c r="S5" s="95"/>
      <c r="T5" s="95"/>
    </row>
    <row r="6" spans="1:20" ht="15.75" customHeight="1" x14ac:dyDescent="0.2">
      <c r="A6" s="5" t="s">
        <v>114</v>
      </c>
      <c r="B6" s="81"/>
      <c r="C6" s="81"/>
      <c r="D6" s="81"/>
      <c r="E6" s="72">
        <f>('CableSatIPTV (RV)'!E6)/('CableSatIPTV (RV)'!E47)*100</f>
        <v>3.4361694180921791</v>
      </c>
      <c r="F6" s="81" t="s">
        <v>115</v>
      </c>
      <c r="G6" s="5"/>
      <c r="H6" s="5"/>
      <c r="I6" s="5"/>
      <c r="J6" s="5"/>
      <c r="K6" s="5"/>
      <c r="L6" s="5"/>
      <c r="M6" s="5"/>
      <c r="N6" s="5"/>
      <c r="O6" s="626" t="s">
        <v>8</v>
      </c>
      <c r="P6" s="623"/>
      <c r="Q6" s="623"/>
      <c r="R6" s="623"/>
      <c r="S6" s="623"/>
      <c r="T6" s="623"/>
    </row>
    <row r="7" spans="1:20" ht="13.5" customHeight="1" x14ac:dyDescent="0.2">
      <c r="A7" s="5" t="s">
        <v>116</v>
      </c>
      <c r="B7" s="72">
        <f>('CableSatIPTV (RV)'!B7)/('CableSatIPTV (RV)'!B47)*100</f>
        <v>0.54446460980036304</v>
      </c>
      <c r="C7" s="72">
        <f>('CableSatIPTV (RV)'!C7)/('CableSatIPTV (RV)'!C47)*100</f>
        <v>0.51492477270898696</v>
      </c>
      <c r="D7" s="72">
        <f>('CableSatIPTV (RV)'!D7)/('CableSatIPTV (RV)'!D47)*100</f>
        <v>0.50865931936538689</v>
      </c>
      <c r="E7" s="72">
        <f>('CableSatIPTV (RV)'!E7)/('CableSatIPTV (RV)'!E47)*100</f>
        <v>0.49301561216105172</v>
      </c>
      <c r="F7" s="72">
        <f>('CableSatIPTV (RV)'!F7)/('CableSatIPTV (RV)'!F47)*100</f>
        <v>0.43143297380585516</v>
      </c>
      <c r="G7" s="72">
        <f>('CableSatIPTV (RV)'!G7)/('CableSatIPTV (RV)'!G47)*100</f>
        <v>0.43854427114339012</v>
      </c>
      <c r="H7" s="72">
        <f>('CableSatIPTV (RV)'!H7)/('CableSatIPTV (RV)'!H47)*100</f>
        <v>0.37822679226288919</v>
      </c>
      <c r="I7" s="5"/>
      <c r="J7" s="5"/>
      <c r="K7" s="5"/>
      <c r="L7" s="5"/>
      <c r="M7" s="5"/>
      <c r="N7" s="5"/>
      <c r="O7" s="623"/>
      <c r="P7" s="623"/>
      <c r="Q7" s="623"/>
      <c r="R7" s="623"/>
      <c r="S7" s="623"/>
      <c r="T7" s="623"/>
    </row>
    <row r="8" spans="1:20" ht="15.75" customHeight="1" x14ac:dyDescent="0.2">
      <c r="A8" s="5" t="s">
        <v>119</v>
      </c>
      <c r="B8" s="72">
        <f>('CableSatIPTV (RV)'!B8)/('CableSatIPTV (RV)'!B47)*100</f>
        <v>4.2859137233002933</v>
      </c>
      <c r="C8" s="72">
        <f>('CableSatIPTV (RV)'!C8)/('CableSatIPTV (RV)'!C47)*100</f>
        <v>2.5585324643977794</v>
      </c>
      <c r="D8" s="72">
        <f>('CableSatIPTV (RV)'!D8)/('CableSatIPTV (RV)'!D47)*100</f>
        <v>1.7379193411650717</v>
      </c>
      <c r="E8" s="72">
        <f>('CableSatIPTV (RV)'!E8)/('CableSatIPTV (RV)'!E47)*100</f>
        <v>1.7591693433928437</v>
      </c>
      <c r="F8" s="72">
        <f>('CableSatIPTV (RV)'!F8)/('CableSatIPTV (RV)'!F47)*100</f>
        <v>3.7667417328434283</v>
      </c>
      <c r="G8" s="81" t="s">
        <v>74</v>
      </c>
      <c r="H8" s="5"/>
      <c r="I8" s="5"/>
      <c r="J8" s="5"/>
      <c r="K8" s="5"/>
      <c r="L8" s="5"/>
      <c r="M8" s="5"/>
      <c r="N8" s="5"/>
      <c r="O8" s="623"/>
      <c r="P8" s="623"/>
      <c r="Q8" s="623"/>
      <c r="R8" s="623"/>
      <c r="S8" s="623"/>
      <c r="T8" s="623"/>
    </row>
    <row r="9" spans="1:20" ht="15.75" customHeight="1" x14ac:dyDescent="0.2">
      <c r="A9" s="5" t="s">
        <v>121</v>
      </c>
      <c r="B9" s="72">
        <f>('CableSatIPTV (RV)'!B9)/('CableSatIPTV (RV)'!B47)*100</f>
        <v>0.2652519893899204</v>
      </c>
      <c r="C9" s="72">
        <f>('CableSatIPTV (RV)'!C9)/('CableSatIPTV (RV)'!C47)*100</f>
        <v>0.2333252876337597</v>
      </c>
      <c r="D9" s="72">
        <f>('CableSatIPTV (RV)'!D9)/('CableSatIPTV (RV)'!D47)*100</f>
        <v>0.39966089378708969</v>
      </c>
      <c r="E9" s="72">
        <f>('CableSatIPTV (RV)'!E9)/('CableSatIPTV (RV)'!E47)*100</f>
        <v>0.41831627698513485</v>
      </c>
      <c r="F9" s="72">
        <f>('CableSatIPTV (RV)'!F9)/('CableSatIPTV (RV)'!F47)*100</f>
        <v>0.67322508000474102</v>
      </c>
      <c r="G9" s="81" t="s">
        <v>74</v>
      </c>
      <c r="H9" s="5"/>
      <c r="I9" s="5"/>
      <c r="J9" s="5"/>
      <c r="K9" s="5"/>
      <c r="L9" s="5"/>
      <c r="M9" s="5"/>
      <c r="N9" s="5"/>
      <c r="O9" s="623"/>
      <c r="P9" s="623"/>
      <c r="Q9" s="623"/>
      <c r="R9" s="623"/>
      <c r="S9" s="623"/>
      <c r="T9" s="623"/>
    </row>
    <row r="10" spans="1:20" ht="15.75" customHeight="1" x14ac:dyDescent="0.2">
      <c r="A10" s="5" t="s">
        <v>122</v>
      </c>
      <c r="B10" s="72">
        <f>('CableSatIPTV (RV)'!B10)/('CableSatIPTV (RV)'!B47)*100</f>
        <v>0.11168504816417703</v>
      </c>
      <c r="C10" s="72">
        <f>('CableSatIPTV (RV)'!C10)/('CableSatIPTV (RV)'!C47)*100</f>
        <v>8.8502695309357157E-2</v>
      </c>
      <c r="D10" s="72">
        <f>('CableSatIPTV (RV)'!D10)/('CableSatIPTV (RV)'!D47)*100</f>
        <v>0.40571636187477289</v>
      </c>
      <c r="E10" s="72">
        <f>('CableSatIPTV (RV)'!E10)/('CableSatIPTV (RV)'!E47)*100</f>
        <v>0.42578621050272647</v>
      </c>
      <c r="F10" s="72">
        <f>('CableSatIPTV (RV)'!F10)/('CableSatIPTV (RV)'!F47)*100</f>
        <v>0.28446130141045395</v>
      </c>
      <c r="G10" s="81" t="s">
        <v>123</v>
      </c>
      <c r="H10" s="5"/>
      <c r="I10" s="5"/>
      <c r="J10" s="5"/>
      <c r="K10" s="5"/>
      <c r="L10" s="5"/>
      <c r="M10" s="5"/>
      <c r="N10" s="5"/>
      <c r="O10" s="623"/>
      <c r="P10" s="623"/>
      <c r="Q10" s="623"/>
      <c r="R10" s="623"/>
      <c r="S10" s="623"/>
      <c r="T10" s="623"/>
    </row>
    <row r="11" spans="1:20" ht="15.75" customHeight="1" x14ac:dyDescent="0.2">
      <c r="A11" s="5" t="s">
        <v>124</v>
      </c>
      <c r="B11" s="72">
        <f>('CableSatIPTV (RV)'!B11)/('CableSatIPTV (RV)'!B47)*100</f>
        <v>0.53050397877984079</v>
      </c>
      <c r="C11" s="72">
        <f>('CableSatIPTV (RV)'!C11)/('CableSatIPTV (RV)'!C47)*100</f>
        <v>0.49883337356183122</v>
      </c>
      <c r="D11" s="72">
        <f>('CableSatIPTV (RV)'!D11)/('CableSatIPTV (RV)'!D47)*100</f>
        <v>0.52077025554075318</v>
      </c>
      <c r="E11" s="72">
        <f>('CableSatIPTV (RV)'!E11)/('CableSatIPTV (RV)'!E47)*100</f>
        <v>0.69843878389482328</v>
      </c>
      <c r="F11" s="81" t="s">
        <v>125</v>
      </c>
      <c r="G11" s="81"/>
      <c r="H11" s="5"/>
      <c r="I11" s="5"/>
      <c r="J11" s="5"/>
      <c r="K11" s="5"/>
      <c r="L11" s="5"/>
      <c r="M11" s="5"/>
      <c r="N11" s="5"/>
      <c r="O11" s="623"/>
      <c r="P11" s="623"/>
      <c r="Q11" s="623"/>
      <c r="R11" s="623"/>
      <c r="S11" s="623"/>
      <c r="T11" s="623"/>
    </row>
    <row r="12" spans="1:20" ht="15.75" customHeight="1" x14ac:dyDescent="0.2">
      <c r="A12" s="5" t="s">
        <v>126</v>
      </c>
      <c r="B12" s="72">
        <f>('CableSatIPTV (RV)'!B12)/('CableSatIPTV (RV)'!B47)*100</f>
        <v>0.16752757224626555</v>
      </c>
      <c r="C12" s="72">
        <f>('CableSatIPTV (RV)'!C12)/('CableSatIPTV (RV)'!C47)*100</f>
        <v>0.1126397940300909</v>
      </c>
      <c r="D12" s="72">
        <f>('CableSatIPTV (RV)'!D12)/('CableSatIPTV (RV)'!D47)*100</f>
        <v>0.11505389366598037</v>
      </c>
      <c r="E12" s="81" t="s">
        <v>127</v>
      </c>
      <c r="F12" s="81"/>
      <c r="G12" s="81"/>
      <c r="H12" s="5"/>
      <c r="I12" s="5"/>
      <c r="J12" s="5"/>
      <c r="K12" s="5"/>
      <c r="L12" s="5"/>
      <c r="M12" s="5"/>
      <c r="N12" s="5"/>
      <c r="O12" s="623"/>
      <c r="P12" s="623"/>
      <c r="Q12" s="623"/>
      <c r="R12" s="623"/>
      <c r="S12" s="623"/>
      <c r="T12" s="623"/>
    </row>
    <row r="13" spans="1:20" ht="15.75" customHeight="1" x14ac:dyDescent="0.2">
      <c r="A13" s="5" t="s">
        <v>128</v>
      </c>
      <c r="B13" s="81"/>
      <c r="C13" s="81"/>
      <c r="D13" s="72">
        <f>('CableSatIPTV (RV)'!D13)/('CableSatIPTV (RV)'!D47)*100</f>
        <v>1.9861935327600821</v>
      </c>
      <c r="E13" s="5">
        <f>('CableSatIPTV (RV)'!E13)/('CableSatIPTV (RV)'!E47)*100</f>
        <v>2.5808620303279297</v>
      </c>
      <c r="F13" s="81" t="s">
        <v>125</v>
      </c>
      <c r="G13" s="81"/>
      <c r="H13" s="5"/>
      <c r="I13" s="5"/>
      <c r="J13" s="5"/>
      <c r="K13" s="5"/>
      <c r="L13" s="5"/>
      <c r="M13" s="5"/>
      <c r="N13" s="5"/>
      <c r="O13" s="623"/>
      <c r="P13" s="623"/>
      <c r="Q13" s="623"/>
      <c r="R13" s="623"/>
      <c r="S13" s="623"/>
      <c r="T13" s="623"/>
    </row>
    <row r="14" spans="1:20" ht="15.75" customHeight="1" x14ac:dyDescent="0.2">
      <c r="A14" s="5" t="s">
        <v>129</v>
      </c>
      <c r="B14" s="81"/>
      <c r="C14" s="81"/>
      <c r="D14" s="72">
        <f>('CableSatIPTV (RV)'!D14)/('CableSatIPTV (RV)'!D47)*100</f>
        <v>0.69637883008356549</v>
      </c>
      <c r="E14" s="81" t="s">
        <v>130</v>
      </c>
      <c r="F14" s="81"/>
      <c r="G14" s="81"/>
      <c r="H14" s="5"/>
      <c r="I14" s="5"/>
      <c r="J14" s="5"/>
      <c r="K14" s="5"/>
      <c r="L14" s="5"/>
      <c r="M14" s="5"/>
      <c r="N14" s="5"/>
      <c r="O14" s="623"/>
      <c r="P14" s="623"/>
      <c r="Q14" s="623"/>
      <c r="R14" s="623"/>
      <c r="S14" s="623"/>
      <c r="T14" s="623"/>
    </row>
    <row r="15" spans="1:20" ht="15.75" customHeight="1" x14ac:dyDescent="0.2">
      <c r="A15" s="5" t="s">
        <v>131</v>
      </c>
      <c r="B15" s="81"/>
      <c r="C15" s="81"/>
      <c r="D15" s="72">
        <f>('CableSatIPTV (RV)'!D15)/('CableSatIPTV (RV)'!D47)*100</f>
        <v>1.7803076177788542</v>
      </c>
      <c r="E15" s="81" t="s">
        <v>132</v>
      </c>
      <c r="F15" s="81"/>
      <c r="G15" s="81"/>
      <c r="H15" s="5"/>
      <c r="I15" s="5"/>
      <c r="J15" s="5"/>
      <c r="K15" s="5"/>
      <c r="L15" s="5"/>
      <c r="M15" s="5"/>
      <c r="N15" s="5"/>
      <c r="O15" s="5"/>
      <c r="P15" s="5"/>
      <c r="Q15" s="5"/>
      <c r="R15" s="5"/>
      <c r="S15" s="5"/>
      <c r="T15" s="5"/>
    </row>
    <row r="16" spans="1:20" ht="15.75" customHeight="1" x14ac:dyDescent="0.2">
      <c r="A16" s="5" t="s">
        <v>133</v>
      </c>
      <c r="B16" s="72">
        <f>('CableSatIPTV (RV)'!B16)/('CableSatIPTV (RV)'!B47)*100</f>
        <v>0.60030713388245149</v>
      </c>
      <c r="C16" s="72">
        <f>('CableSatIPTV (RV)'!C16)/('CableSatIPTV (RV)'!C47)*100</f>
        <v>4.6343229543808828</v>
      </c>
      <c r="D16" s="72">
        <f>('CableSatIPTV (RV)'!D16)/('CableSatIPTV (RV)'!D47)*100</f>
        <v>5.0865931936538686</v>
      </c>
      <c r="E16" s="81" t="s">
        <v>134</v>
      </c>
      <c r="F16" s="81"/>
      <c r="G16" s="81"/>
      <c r="H16" s="5"/>
      <c r="I16" s="5"/>
      <c r="J16" s="5"/>
      <c r="K16" s="5"/>
      <c r="L16" s="5"/>
      <c r="M16" s="5"/>
      <c r="N16" s="5"/>
      <c r="O16" s="5"/>
      <c r="P16" s="5"/>
      <c r="Q16" s="5"/>
      <c r="R16" s="5"/>
      <c r="S16" s="5"/>
      <c r="T16" s="5"/>
    </row>
    <row r="17" spans="1:20" ht="15.75" customHeight="1" x14ac:dyDescent="0.2">
      <c r="A17" s="5" t="s">
        <v>135</v>
      </c>
      <c r="B17" s="81"/>
      <c r="C17" s="81"/>
      <c r="D17" s="72">
        <f>('CableSatIPTV (RV)'!D17)/('CableSatIPTV (RV)'!D47)*100</f>
        <v>4.5416010657623831</v>
      </c>
      <c r="E17" s="81" t="s">
        <v>136</v>
      </c>
      <c r="F17" s="81"/>
      <c r="G17" s="81"/>
      <c r="H17" s="5"/>
      <c r="I17" s="5"/>
      <c r="J17" s="5"/>
      <c r="K17" s="5"/>
      <c r="L17" s="5"/>
      <c r="M17" s="5"/>
      <c r="N17" s="5"/>
      <c r="O17" s="5"/>
      <c r="P17" s="5"/>
      <c r="Q17" s="5"/>
      <c r="R17" s="5"/>
      <c r="S17" s="5"/>
      <c r="T17" s="5"/>
    </row>
    <row r="18" spans="1:20" ht="15.75" customHeight="1" x14ac:dyDescent="0.2">
      <c r="A18" s="5" t="s">
        <v>137</v>
      </c>
      <c r="B18" s="81"/>
      <c r="C18" s="72">
        <f>('CableSatIPTV (RV)'!C18)/('CableSatIPTV (RV)'!C47)*100</f>
        <v>0.86893555394641564</v>
      </c>
      <c r="D18" s="81" t="s">
        <v>138</v>
      </c>
      <c r="E18" s="81"/>
      <c r="F18" s="81"/>
      <c r="G18" s="81"/>
      <c r="H18" s="5"/>
      <c r="I18" s="5"/>
      <c r="J18" s="5"/>
      <c r="K18" s="5"/>
      <c r="L18" s="5"/>
      <c r="M18" s="5"/>
      <c r="N18" s="5"/>
      <c r="O18" s="5"/>
      <c r="P18" s="5"/>
      <c r="Q18" s="5"/>
      <c r="R18" s="5"/>
      <c r="S18" s="5"/>
      <c r="T18" s="5"/>
    </row>
    <row r="19" spans="1:20" ht="15.75" customHeight="1" x14ac:dyDescent="0.2">
      <c r="A19" s="5" t="s">
        <v>139</v>
      </c>
      <c r="B19" s="81"/>
      <c r="C19" s="81"/>
      <c r="D19" s="81"/>
      <c r="E19" s="81"/>
      <c r="F19" s="72">
        <f>('CableSatIPTV (RV)'!F19)/('CableSatIPTV (RV)'!F47)*100</f>
        <v>7.2300580775157055</v>
      </c>
      <c r="G19" s="72">
        <f>('CableSatIPTV (RV)'!G19)/('CableSatIPTV (RV)'!G47)*100</f>
        <v>17.000039687264358</v>
      </c>
      <c r="H19" s="72">
        <f>('CableSatIPTV (RV)'!H19)/('CableSatIPTV (RV)'!H47)*100</f>
        <v>19.847558783346514</v>
      </c>
      <c r="I19" s="72">
        <f>('CableSatIPTV (RV)'!I19)/('CableSatIPTV (RV)'!I47)*100</f>
        <v>21.498880592348005</v>
      </c>
      <c r="J19" s="72">
        <f>('CableSatIPTV (RV)'!J19)/('CableSatIPTV (RV)'!J47)*100</f>
        <v>22.156021326145808</v>
      </c>
      <c r="K19" s="72">
        <f>('CableSatIPTV (RV)'!K19)/('CableSatIPTV (RV)'!K47)*100</f>
        <v>22.632230632651158</v>
      </c>
      <c r="L19" s="72">
        <f>('CableSatIPTV (RV)'!L19)/('CableSatIPTV (RV)'!L47)*100</f>
        <v>23.917249457009973</v>
      </c>
      <c r="M19" s="72">
        <f>('CableSatIPTV (RV)'!M19)/('CableSatIPTV (RV)'!M47)*100</f>
        <v>26.738321527840043</v>
      </c>
      <c r="N19" s="5"/>
      <c r="O19" s="5"/>
      <c r="P19" s="5"/>
      <c r="Q19" s="5"/>
      <c r="R19" s="5"/>
      <c r="S19" s="5"/>
      <c r="T19" s="5"/>
    </row>
    <row r="20" spans="1:20" ht="15.75" customHeight="1" x14ac:dyDescent="0.2">
      <c r="A20" s="224" t="s">
        <v>140</v>
      </c>
      <c r="B20" s="97"/>
      <c r="C20" s="97"/>
      <c r="D20" s="97"/>
      <c r="E20" s="97"/>
      <c r="F20" s="97">
        <v>7.2300580775157055</v>
      </c>
      <c r="G20" s="97">
        <v>17.000039687264358</v>
      </c>
      <c r="H20" s="95">
        <v>19.847558783346514</v>
      </c>
      <c r="I20" s="95">
        <v>20.666666666666668</v>
      </c>
      <c r="J20" s="95">
        <v>20.949431202915598</v>
      </c>
      <c r="K20" s="95">
        <v>20.303138332739167</v>
      </c>
      <c r="L20" s="95">
        <v>19.880957257954389</v>
      </c>
      <c r="M20" s="238"/>
      <c r="N20" s="238"/>
      <c r="O20" s="238"/>
      <c r="P20" s="238"/>
      <c r="Q20" s="238"/>
      <c r="R20" s="238"/>
      <c r="S20" s="238"/>
      <c r="T20" s="238"/>
    </row>
    <row r="21" spans="1:20" ht="15.75" customHeight="1" x14ac:dyDescent="0.2">
      <c r="A21" s="224" t="s">
        <v>141</v>
      </c>
      <c r="B21" s="97"/>
      <c r="C21" s="97"/>
      <c r="D21" s="97"/>
      <c r="E21" s="97"/>
      <c r="F21" s="97"/>
      <c r="G21" s="97"/>
      <c r="H21" s="95"/>
      <c r="I21" s="95">
        <v>0.55432098765432103</v>
      </c>
      <c r="J21" s="95">
        <v>0.87328109171780222</v>
      </c>
      <c r="K21" s="95">
        <v>1.9779891210598342</v>
      </c>
      <c r="L21" s="95">
        <v>4.0534389366835084</v>
      </c>
      <c r="M21" s="238"/>
      <c r="N21" s="238"/>
      <c r="O21" s="238"/>
      <c r="P21" s="238"/>
      <c r="Q21" s="238"/>
      <c r="R21" s="238"/>
      <c r="S21" s="238"/>
      <c r="T21" s="238"/>
    </row>
    <row r="22" spans="1:20" ht="15.75" customHeight="1" x14ac:dyDescent="0.2">
      <c r="A22" s="5" t="s">
        <v>17</v>
      </c>
      <c r="B22" s="72">
        <f>('CableSatIPTV (RV)'!B22)/('CableSatIPTV (RV)'!B47)*100</f>
        <v>25.324584671227139</v>
      </c>
      <c r="C22" s="72">
        <f>('CableSatIPTV (RV)'!C22)/('CableSatIPTV (RV)'!C47)*100</f>
        <v>22.35095341539947</v>
      </c>
      <c r="D22" s="72">
        <f>('CableSatIPTV (RV)'!D22)/('CableSatIPTV (RV)'!D47)*100</f>
        <v>30.846554438658103</v>
      </c>
      <c r="E22" s="72">
        <f>('CableSatIPTV (RV)'!E22)/('CableSatIPTV (RV)'!E47)*100</f>
        <v>35.605438111600805</v>
      </c>
      <c r="F22" s="72">
        <f>('CableSatIPTV (RV)'!F22)/('CableSatIPTV (RV)'!F47)*100</f>
        <v>23.238117814389</v>
      </c>
      <c r="G22" s="72">
        <f>('CableSatIPTV (RV)'!G22)/('CableSatIPTV (RV)'!G47)*100</f>
        <v>24.86605548279557</v>
      </c>
      <c r="H22" s="72">
        <f>('CableSatIPTV (RV)'!H22)/('CableSatIPTV (RV)'!H47)*100</f>
        <v>23.012871215934421</v>
      </c>
      <c r="I22" s="72">
        <f>('CableSatIPTV (RV)'!I22)/('CableSatIPTV (RV)'!I47)*100</f>
        <v>22.085475216689805</v>
      </c>
      <c r="J22" s="72">
        <f>('CableSatIPTV (RV)'!J22)/('CableSatIPTV (RV)'!J47)*100</f>
        <v>21.640600063836576</v>
      </c>
      <c r="K22" s="72">
        <f>('CableSatIPTV (RV)'!K22)/('CableSatIPTV (RV)'!K47)*100</f>
        <v>21.47579665451827</v>
      </c>
      <c r="L22" s="72">
        <f>('CableSatIPTV (RV)'!L22)/('CableSatIPTV (RV)'!L47)*100</f>
        <v>20.145782872218241</v>
      </c>
      <c r="M22" s="72">
        <f>('CableSatIPTV (RV)'!M22)/('CableSatIPTV (RV)'!M47)*100</f>
        <v>19.43423294180938</v>
      </c>
      <c r="N22" s="5"/>
      <c r="O22" s="5"/>
      <c r="P22" s="5"/>
      <c r="Q22" s="5"/>
      <c r="R22" s="5"/>
      <c r="S22" s="5"/>
      <c r="T22" s="5"/>
    </row>
    <row r="23" spans="1:20" ht="15.75" customHeight="1" x14ac:dyDescent="0.2">
      <c r="A23" s="5" t="s">
        <v>142</v>
      </c>
      <c r="B23" s="72">
        <f>('CableSatIPTV (RV)'!B23)/('CableSatIPTV (RV)'!B47)*100</f>
        <v>0.60030713388245149</v>
      </c>
      <c r="C23" s="72">
        <f>('CableSatIPTV (RV)'!C23)/('CableSatIPTV (RV)'!C47)*100</f>
        <v>0.87698125351999345</v>
      </c>
      <c r="D23" s="72">
        <f>('CableSatIPTV (RV)'!D23)/('CableSatIPTV (RV)'!D47)*100</f>
        <v>1.0173186387307738</v>
      </c>
      <c r="E23" s="72">
        <f>('CableSatIPTV (RV)'!E23)/('CableSatIPTV (RV)'!E47)*100</f>
        <v>1.0084410248748785</v>
      </c>
      <c r="F23" s="5">
        <f>('CableSatIPTV (RV)'!F23)/('CableSatIPTV (RV)'!F47)*100</f>
        <v>0.74196989451226747</v>
      </c>
      <c r="G23" s="81" t="s">
        <v>143</v>
      </c>
      <c r="H23" s="5"/>
      <c r="I23" s="5"/>
      <c r="J23" s="5"/>
      <c r="K23" s="5"/>
      <c r="L23" s="5"/>
      <c r="M23" s="5"/>
      <c r="N23" s="5"/>
      <c r="O23" s="5"/>
      <c r="P23" s="5"/>
      <c r="Q23" s="5"/>
      <c r="R23" s="5"/>
      <c r="S23" s="5"/>
      <c r="T23" s="5"/>
    </row>
    <row r="24" spans="1:20" ht="15.75" customHeight="1" x14ac:dyDescent="0.2">
      <c r="A24" s="5" t="s">
        <v>144</v>
      </c>
      <c r="B24" s="72">
        <f>('CableSatIPTV (RV)'!B24)/('CableSatIPTV (RV)'!B47)*100</f>
        <v>6.6173391037274891</v>
      </c>
      <c r="C24" s="72">
        <f>('CableSatIPTV (RV)'!C24)/('CableSatIPTV (RV)'!C47)*100</f>
        <v>6.718159143937565</v>
      </c>
      <c r="D24" s="72">
        <f>('CableSatIPTV (RV)'!D24)/('CableSatIPTV (RV)'!D47)*100</f>
        <v>10.657623834322392</v>
      </c>
      <c r="E24" s="81" t="s">
        <v>145</v>
      </c>
      <c r="F24" s="81"/>
      <c r="G24" s="81"/>
      <c r="H24" s="5"/>
      <c r="I24" s="5"/>
      <c r="J24" s="5"/>
      <c r="K24" s="5"/>
      <c r="L24" s="5"/>
      <c r="M24" s="5"/>
      <c r="N24" s="5"/>
      <c r="O24" s="5"/>
      <c r="P24" s="5"/>
      <c r="Q24" s="5"/>
      <c r="R24" s="5"/>
      <c r="S24" s="5"/>
      <c r="T24" s="5"/>
    </row>
    <row r="25" spans="1:20" ht="15.75" customHeight="1" x14ac:dyDescent="0.2">
      <c r="A25" s="5" t="s">
        <v>147</v>
      </c>
      <c r="B25" s="72">
        <f>('CableSatIPTV (RV)'!B25)/('CableSatIPTV (RV)'!B47)*100</f>
        <v>2.3174647494066734</v>
      </c>
      <c r="C25" s="72">
        <f>('CableSatIPTV (RV)'!C25)/('CableSatIPTV (RV)'!C47)*100</f>
        <v>1.7780996057607208</v>
      </c>
      <c r="D25" s="81" t="s">
        <v>148</v>
      </c>
      <c r="E25" s="81"/>
      <c r="F25" s="81"/>
      <c r="G25" s="81"/>
      <c r="H25" s="5"/>
      <c r="I25" s="5"/>
      <c r="J25" s="5"/>
      <c r="K25" s="5"/>
      <c r="L25" s="5"/>
      <c r="M25" s="5"/>
      <c r="N25" s="5"/>
      <c r="O25" s="5"/>
      <c r="P25" s="5"/>
      <c r="Q25" s="5"/>
      <c r="R25" s="5"/>
      <c r="S25" s="5"/>
      <c r="T25" s="5"/>
    </row>
    <row r="26" spans="1:20" ht="15.75" customHeight="1" x14ac:dyDescent="0.2">
      <c r="A26" s="5" t="s">
        <v>149</v>
      </c>
      <c r="B26" s="72">
        <f>('CableSatIPTV (RV)'!B26)/('CableSatIPTV (RV)'!B47)*100</f>
        <v>2.9177718832891246</v>
      </c>
      <c r="C26" s="128" t="s">
        <v>460</v>
      </c>
      <c r="D26" s="81"/>
      <c r="E26" s="81"/>
      <c r="F26" s="81"/>
      <c r="G26" s="81"/>
      <c r="H26" s="5"/>
      <c r="I26" s="5"/>
      <c r="J26" s="5"/>
      <c r="K26" s="5"/>
      <c r="L26" s="5"/>
      <c r="M26" s="5"/>
      <c r="N26" s="5"/>
      <c r="O26" s="5"/>
      <c r="P26" s="5"/>
      <c r="Q26" s="5"/>
      <c r="R26" s="5"/>
      <c r="S26" s="5"/>
      <c r="T26" s="5"/>
    </row>
    <row r="27" spans="1:20" ht="15.75" customHeight="1" x14ac:dyDescent="0.2">
      <c r="A27" s="5" t="s">
        <v>154</v>
      </c>
      <c r="B27" s="81"/>
      <c r="C27" s="81"/>
      <c r="D27" s="81"/>
      <c r="E27" s="81"/>
      <c r="F27" s="81"/>
      <c r="G27" s="72">
        <f>('CableSatIPTV (RV)'!G27)/('CableSatIPTV (RV)'!G47)*100</f>
        <v>13.999682501885147</v>
      </c>
      <c r="H27" s="72">
        <f>('CableSatIPTV (RV)'!H27)/('CableSatIPTV (RV)'!H47)*100</f>
        <v>12.028474868771122</v>
      </c>
      <c r="I27" s="72">
        <f>('CableSatIPTV (RV)'!I27)/('CableSatIPTV (RV)'!I47)*100</f>
        <v>12.282215801783547</v>
      </c>
      <c r="J27" s="72">
        <f>('CableSatIPTV (RV)'!J27)/('CableSatIPTV (RV)'!J47)*100</f>
        <v>12.305091558203591</v>
      </c>
      <c r="K27" s="72">
        <f>('CableSatIPTV (RV)'!K27)/('CableSatIPTV (RV)'!K47)*100</f>
        <v>12.689234650967199</v>
      </c>
      <c r="L27" s="72">
        <f>('CableSatIPTV (RV)'!L27)/('CableSatIPTV (RV)'!L47)*100</f>
        <v>12.39495559421872</v>
      </c>
      <c r="M27" s="72">
        <f>('CableSatIPTV (RV)'!M27)/('CableSatIPTV (RV)'!M47)*100</f>
        <v>12.10436653815117</v>
      </c>
      <c r="N27" s="5"/>
      <c r="O27" s="5"/>
      <c r="P27" s="5"/>
      <c r="Q27" s="5"/>
      <c r="R27" s="5"/>
      <c r="S27" s="5"/>
      <c r="T27" s="5"/>
    </row>
    <row r="28" spans="1:20" ht="15.75" customHeight="1" x14ac:dyDescent="0.2">
      <c r="A28" s="5" t="s">
        <v>156</v>
      </c>
      <c r="B28" s="81"/>
      <c r="C28" s="72">
        <f>('CableSatIPTV (RV)'!C28)/('CableSatIPTV (RV)'!C47)*100</f>
        <v>19.711963955265908</v>
      </c>
      <c r="D28" s="72">
        <f>('CableSatIPTV (RV)'!D28)/('CableSatIPTV (RV)'!D47)*100</f>
        <v>17.700133220297928</v>
      </c>
      <c r="E28" s="72">
        <f>('CableSatIPTV (RV)'!E28)/('CableSatIPTV (RV)'!E47)*100</f>
        <v>23.70583401807724</v>
      </c>
      <c r="F28" s="72">
        <f>('CableSatIPTV (RV)'!F28)/('CableSatIPTV (RV)'!F47)*100</f>
        <v>15.621666469124095</v>
      </c>
      <c r="G28" s="81" t="s">
        <v>157</v>
      </c>
      <c r="H28" s="5"/>
      <c r="I28" s="5"/>
      <c r="J28" s="5"/>
      <c r="K28" s="81"/>
      <c r="L28" s="5"/>
      <c r="M28" s="5"/>
      <c r="N28" s="5"/>
      <c r="O28" s="5"/>
      <c r="P28" s="5"/>
      <c r="Q28" s="5"/>
      <c r="R28" s="5"/>
      <c r="S28" s="5"/>
      <c r="T28" s="5"/>
    </row>
    <row r="29" spans="1:20" ht="15.75" customHeight="1" x14ac:dyDescent="0.2">
      <c r="A29" s="5" t="s">
        <v>159</v>
      </c>
      <c r="B29" s="72">
        <f>('CableSatIPTV (RV)'!B29)/('CableSatIPTV (RV)'!B47)*100</f>
        <v>2.6385592628786823</v>
      </c>
      <c r="C29" s="72">
        <f>('CableSatIPTV (RV)'!C29)/('CableSatIPTV (RV)'!C47)*100</f>
        <v>2.9608174430766749</v>
      </c>
      <c r="D29" s="72">
        <f>('CableSatIPTV (RV)'!D29)/('CableSatIPTV (RV)'!D47)*100</f>
        <v>2.9550684267893907</v>
      </c>
      <c r="E29" s="72">
        <f>('CableSatIPTV (RV)'!E29)/('CableSatIPTV (RV)'!E47)*100</f>
        <v>4.8778665869873752</v>
      </c>
      <c r="F29" s="81" t="s">
        <v>161</v>
      </c>
      <c r="G29" s="81"/>
      <c r="H29" s="5"/>
      <c r="I29" s="5"/>
      <c r="J29" s="5"/>
      <c r="K29" s="81"/>
      <c r="L29" s="5"/>
      <c r="M29" s="5"/>
      <c r="N29" s="5"/>
      <c r="O29" s="5"/>
      <c r="P29" s="5"/>
      <c r="Q29" s="5"/>
      <c r="R29" s="5"/>
      <c r="S29" s="5"/>
      <c r="T29" s="5"/>
    </row>
    <row r="30" spans="1:20" ht="15.75" customHeight="1" x14ac:dyDescent="0.2">
      <c r="A30" s="5" t="s">
        <v>163</v>
      </c>
      <c r="B30" s="72">
        <f>('CableSatIPTV (RV)'!B30)/('CableSatIPTV (RV)'!B47)*100</f>
        <v>2.066173391037275</v>
      </c>
      <c r="C30" s="72">
        <f>('CableSatIPTV (RV)'!C30)/('CableSatIPTV (RV)'!C47)*100</f>
        <v>1.5850028159948504</v>
      </c>
      <c r="D30" s="72">
        <f>('CableSatIPTV (RV)'!D30)/('CableSatIPTV (RV)'!D47)*100</f>
        <v>2.1194138306891119</v>
      </c>
      <c r="E30" s="81" t="s">
        <v>164</v>
      </c>
      <c r="F30" s="81"/>
      <c r="G30" s="81"/>
      <c r="H30" s="5"/>
      <c r="I30" s="5"/>
      <c r="J30" s="5"/>
      <c r="K30" s="5"/>
      <c r="L30" s="5"/>
      <c r="M30" s="5"/>
      <c r="N30" s="5"/>
      <c r="O30" s="5"/>
      <c r="P30" s="5"/>
      <c r="Q30" s="5"/>
      <c r="R30" s="5"/>
      <c r="S30" s="5"/>
      <c r="T30" s="5"/>
    </row>
    <row r="31" spans="1:20" ht="15.75" customHeight="1" x14ac:dyDescent="0.2">
      <c r="A31" s="5" t="s">
        <v>165</v>
      </c>
      <c r="B31" s="72">
        <f>('CableSatIPTV (RV)'!B31)/('CableSatIPTV (RV)'!B47)*100</f>
        <v>1.5077481502163899</v>
      </c>
      <c r="C31" s="72">
        <f>('CableSatIPTV (RV)'!C31)/('CableSatIPTV (RV)'!C47)*100</f>
        <v>0.88502695309357149</v>
      </c>
      <c r="D31" s="81" t="s">
        <v>166</v>
      </c>
      <c r="E31" s="81"/>
      <c r="F31" s="81"/>
      <c r="G31" s="81"/>
      <c r="H31" s="5"/>
      <c r="I31" s="5"/>
      <c r="J31" s="5"/>
      <c r="K31" s="5"/>
      <c r="L31" s="5"/>
      <c r="M31" s="5"/>
      <c r="N31" s="5"/>
      <c r="O31" s="5"/>
      <c r="P31" s="5"/>
      <c r="Q31" s="5"/>
      <c r="R31" s="5"/>
      <c r="S31" s="5"/>
      <c r="T31" s="5"/>
    </row>
    <row r="32" spans="1:20" ht="15.75" customHeight="1" x14ac:dyDescent="0.2">
      <c r="A32" s="5" t="s">
        <v>167</v>
      </c>
      <c r="B32" s="81"/>
      <c r="C32" s="81"/>
      <c r="D32" s="72">
        <f>('CableSatIPTV (RV)'!D32)/('CableSatIPTV (RV)'!D47)*100</f>
        <v>0.43599370231318885</v>
      </c>
      <c r="E32" s="81" t="s">
        <v>168</v>
      </c>
      <c r="F32" s="81"/>
      <c r="G32" s="81"/>
      <c r="H32" s="5"/>
      <c r="I32" s="5"/>
      <c r="J32" s="5"/>
      <c r="K32" s="5"/>
      <c r="L32" s="5"/>
      <c r="M32" s="5"/>
      <c r="N32" s="5"/>
      <c r="O32" s="5"/>
      <c r="P32" s="5"/>
      <c r="Q32" s="5"/>
      <c r="R32" s="5"/>
      <c r="S32" s="5"/>
      <c r="T32" s="5"/>
    </row>
    <row r="33" spans="1:20" ht="15.75" customHeight="1" x14ac:dyDescent="0.2">
      <c r="A33" s="5" t="s">
        <v>20</v>
      </c>
      <c r="B33" s="72">
        <f>('CableSatIPTV (RV)'!B33)/('CableSatIPTV (RV)'!B47)*100</f>
        <v>0.6701102889850622</v>
      </c>
      <c r="C33" s="72">
        <f>('CableSatIPTV (RV)'!C33)/('CableSatIPTV (RV)'!C47)*100</f>
        <v>2.0677447904095256</v>
      </c>
      <c r="D33" s="72">
        <f>('CableSatIPTV (RV)'!D33)/('CableSatIPTV (RV)'!D47)*100</f>
        <v>6.6428484921884454</v>
      </c>
      <c r="E33" s="72">
        <f>('CableSatIPTV (RV)'!E33)/('CableSatIPTV (RV)'!E47)*100</f>
        <v>5.7052369462911781</v>
      </c>
      <c r="F33" s="72">
        <f>('CableSatIPTV (RV)'!F33)/('CableSatIPTV (RV)'!F47)*100</f>
        <v>8.0859997308172815</v>
      </c>
      <c r="G33" s="72">
        <f>('CableSatIPTV (RV)'!G33)/('CableSatIPTV (RV)'!G47)*100</f>
        <v>10.846459892921004</v>
      </c>
      <c r="H33" s="72">
        <f>('CableSatIPTV (RV)'!H33)/('CableSatIPTV (RV)'!H47)*100</f>
        <v>7.3646365139857632</v>
      </c>
      <c r="I33" s="72">
        <f>('CableSatIPTV (RV)'!I33)/('CableSatIPTV (RV)'!I47)*100</f>
        <v>7.6732580390979699</v>
      </c>
      <c r="J33" s="72">
        <f>('CableSatIPTV (RV)'!J33)/('CableSatIPTV (RV)'!J47)*100</f>
        <v>7.5622702178718777</v>
      </c>
      <c r="K33" s="72">
        <f>('CableSatIPTV (RV)'!K33)/('CableSatIPTV (RV)'!K47)*100</f>
        <v>7.6242874497710496</v>
      </c>
      <c r="L33" s="72">
        <f>('CableSatIPTV (RV)'!L33)/('CableSatIPTV (RV)'!L47)*100</f>
        <v>7.1811141814212123</v>
      </c>
      <c r="M33" s="72">
        <f>('CableSatIPTV (RV)'!M33)/('CableSatIPTV (RV)'!M47)*100</f>
        <v>6.7302519501479416</v>
      </c>
      <c r="N33" s="5"/>
      <c r="O33" s="5"/>
      <c r="P33" s="5"/>
      <c r="Q33" s="5"/>
      <c r="R33" s="5"/>
      <c r="S33" s="5"/>
      <c r="T33" s="5"/>
    </row>
    <row r="34" spans="1:20" ht="15.75" customHeight="1" x14ac:dyDescent="0.2">
      <c r="A34" s="5" t="s">
        <v>169</v>
      </c>
      <c r="B34" s="5"/>
      <c r="C34" s="5"/>
      <c r="D34" s="72">
        <f>('CableSatIPTV (RV)'!D34)/('CableSatIPTV (RV)'!D47)*100</f>
        <v>0.61160227685600099</v>
      </c>
      <c r="E34" s="72">
        <f>('CableSatIPTV (RV)'!E34)/('CableSatIPTV (RV)'!E47)*100</f>
        <v>0.85904235452304478</v>
      </c>
      <c r="F34" s="5" t="s">
        <v>20</v>
      </c>
      <c r="G34" s="5"/>
      <c r="H34" s="5"/>
      <c r="I34" s="5"/>
      <c r="J34" s="5"/>
      <c r="K34" s="5"/>
      <c r="L34" s="5"/>
      <c r="M34" s="5"/>
      <c r="N34" s="5"/>
      <c r="O34" s="5"/>
      <c r="P34" s="5"/>
      <c r="Q34" s="5"/>
      <c r="R34" s="5"/>
      <c r="S34" s="5"/>
      <c r="T34" s="5"/>
    </row>
    <row r="35" spans="1:20" ht="15.75" customHeight="1" x14ac:dyDescent="0.2">
      <c r="A35" s="5" t="s">
        <v>13</v>
      </c>
      <c r="B35" s="81"/>
      <c r="C35" s="81"/>
      <c r="D35" s="81"/>
      <c r="E35" s="81"/>
      <c r="F35" s="81"/>
      <c r="G35" s="81"/>
      <c r="H35" s="72">
        <f>('CableSatIPTV (RV)'!H35)/('CableSatIPTV (RV)'!H47)*100</f>
        <v>0.48237808297979434</v>
      </c>
      <c r="I35" s="72">
        <f>('CableSatIPTV (RV)'!I35)/('CableSatIPTV (RV)'!I47)*100</f>
        <v>2.0328993283554087</v>
      </c>
      <c r="J35" s="72">
        <f>('CableSatIPTV (RV)'!J35)/('CableSatIPTV (RV)'!J47)*100</f>
        <v>3.4177245806291454</v>
      </c>
      <c r="K35" s="72">
        <f>('CableSatIPTV (RV)'!K35)/('CableSatIPTV (RV)'!K47)*100</f>
        <v>5.0019042612839923</v>
      </c>
      <c r="L35" s="72">
        <f>('CableSatIPTV (RV)'!L35)/('CableSatIPTV (RV)'!L47)*100</f>
        <v>5.9968055129123599</v>
      </c>
      <c r="M35" s="72">
        <f>('CableSatIPTV (RV)'!M35)/('CableSatIPTV (RV)'!M47)*100</f>
        <v>7.3881401864969067</v>
      </c>
      <c r="N35" s="5"/>
      <c r="O35" s="5"/>
      <c r="P35" s="5"/>
      <c r="Q35" s="5"/>
      <c r="R35" s="5"/>
      <c r="S35" s="5"/>
      <c r="T35" s="5"/>
    </row>
    <row r="36" spans="1:20" ht="15.75" customHeight="1" x14ac:dyDescent="0.2">
      <c r="A36" s="5" t="s">
        <v>170</v>
      </c>
      <c r="B36" s="5"/>
      <c r="C36" s="5"/>
      <c r="D36" s="5"/>
      <c r="E36" s="72">
        <f>('CableSatIPTV (RV)'!E36)/('CableSatIPTV (RV)'!E47)*100</f>
        <v>1.6396504071113767</v>
      </c>
      <c r="F36" s="72">
        <f>('CableSatIPTV (RV)'!F36)/('CableSatIPTV (RV)'!F47)*100</f>
        <v>2.6834182766386157</v>
      </c>
      <c r="G36" s="72">
        <f>('CableSatIPTV (RV)'!G36)/('CableSatIPTV (RV)'!G47)*100</f>
        <v>2.7919990475056555</v>
      </c>
      <c r="H36" s="72">
        <f>('CableSatIPTV (RV)'!H36)/('CableSatIPTV (RV)'!H47)*100</f>
        <v>3.8814985259221975</v>
      </c>
      <c r="I36" s="72">
        <f>('CableSatIPTV (RV)'!I36)/('CableSatIPTV (RV)'!I47)*100</f>
        <v>3.8847823096068943</v>
      </c>
      <c r="J36" s="72">
        <f>('CableSatIPTV (RV)'!J36)/('CableSatIPTV (RV)'!J47)*100</f>
        <v>3.8585665141681735</v>
      </c>
      <c r="K36" s="72">
        <f>('CableSatIPTV (RV)'!K36)/('CableSatIPTV (RV)'!K47)*100</f>
        <v>3.8746378843098777</v>
      </c>
      <c r="L36" s="72">
        <f>('CableSatIPTV (RV)'!L36)/('CableSatIPTV (RV)'!L47)*100</f>
        <v>3.7833043359601541</v>
      </c>
      <c r="M36" s="72">
        <f>('CableSatIPTV (RV)'!M36)/('CableSatIPTV (RV)'!M47)*100</f>
        <v>3.6582085537523534</v>
      </c>
      <c r="N36" s="5"/>
      <c r="O36" s="5"/>
      <c r="P36" s="5"/>
      <c r="Q36" s="5"/>
      <c r="R36" s="5"/>
      <c r="S36" s="5"/>
      <c r="T36" s="5"/>
    </row>
    <row r="37" spans="1:20" ht="15.75" customHeight="1" x14ac:dyDescent="0.2">
      <c r="A37" s="5" t="s">
        <v>171</v>
      </c>
      <c r="B37" s="72">
        <f>('CableSatIPTV (RV)'!B37)/('CableSatIPTV (RV)'!B47)*100</f>
        <v>2.0103308669551865</v>
      </c>
      <c r="C37" s="72">
        <f>('CableSatIPTV (RV)'!C37)/('CableSatIPTV (RV)'!C47)*100</f>
        <v>1.6654598117306301</v>
      </c>
      <c r="D37" s="72">
        <f>('CableSatIPTV (RV)'!D37)/('CableSatIPTV (RV)'!D47)*100</f>
        <v>2.1073028945137455</v>
      </c>
      <c r="E37" s="72">
        <f>('CableSatIPTV (RV)'!E37)/('CableSatIPTV (RV)'!E47)*100</f>
        <v>1.5462762381414803</v>
      </c>
      <c r="F37" s="72">
        <f>('CableSatIPTV (RV)'!F37)/('CableSatIPTV (RV)'!F47)*100</f>
        <v>2.7023823633993125</v>
      </c>
      <c r="G37" s="81" t="s">
        <v>173</v>
      </c>
      <c r="H37" s="5"/>
      <c r="I37" s="5"/>
      <c r="J37" s="5"/>
      <c r="K37" s="5"/>
      <c r="L37" s="5"/>
      <c r="M37" s="5"/>
      <c r="N37" s="5"/>
      <c r="O37" s="5"/>
      <c r="P37" s="5"/>
      <c r="Q37" s="5"/>
      <c r="R37" s="5"/>
      <c r="S37" s="5"/>
      <c r="T37" s="5"/>
    </row>
    <row r="38" spans="1:20" ht="15.75" customHeight="1" x14ac:dyDescent="0.2">
      <c r="A38" s="5" t="s">
        <v>19</v>
      </c>
      <c r="B38" s="81"/>
      <c r="C38" s="81"/>
      <c r="D38" s="81"/>
      <c r="E38" s="81"/>
      <c r="F38" s="81"/>
      <c r="G38" s="159">
        <f>('CableSatIPTV (RV)'!G38)/('CableSatIPTV (RV)'!G47)*100</f>
        <v>8.221216811525181E-2</v>
      </c>
      <c r="H38" s="159">
        <f>('CableSatIPTV (RV)'!H38)/('CableSatIPTV (RV)'!H47)*100</f>
        <v>0.57093550010785943</v>
      </c>
      <c r="I38" s="159">
        <f>('CableSatIPTV (RV)'!I38)/('CableSatIPTV (RV)'!I47)*100</f>
        <v>0.58492051492503028</v>
      </c>
      <c r="J38" s="159">
        <f>('CableSatIPTV (RV)'!J38)/('CableSatIPTV (RV)'!J47)*100</f>
        <v>0.69792067402492441</v>
      </c>
      <c r="K38" s="159">
        <f>('CableSatIPTV (RV)'!K38)/('CableSatIPTV (RV)'!K47)*100</f>
        <v>0.82162979234116029</v>
      </c>
      <c r="L38" s="159">
        <f>('CableSatIPTV (RV)'!L38)/('CableSatIPTV (RV)'!L47)*100</f>
        <v>0.79721155554375056</v>
      </c>
      <c r="M38" s="159">
        <f>('CableSatIPTV (RV)'!M38)/('CableSatIPTV (RV)'!M47)*100</f>
        <v>0.89601157872321346</v>
      </c>
      <c r="N38" s="21"/>
      <c r="O38" s="21"/>
      <c r="P38" s="21"/>
      <c r="Q38" s="21"/>
      <c r="R38" s="21"/>
      <c r="S38" s="21"/>
      <c r="T38" s="21"/>
    </row>
    <row r="39" spans="1:20" ht="15.75" customHeight="1" x14ac:dyDescent="0.2">
      <c r="A39" s="5" t="s">
        <v>15</v>
      </c>
      <c r="B39" s="81"/>
      <c r="C39" s="81"/>
      <c r="D39" s="81"/>
      <c r="E39" s="81"/>
      <c r="F39" s="81"/>
      <c r="G39" s="72">
        <f>('CableSatIPTV (RV)'!G39)/('CableSatIPTV (RV)'!G47)*100</f>
        <v>0.16668651029884513</v>
      </c>
      <c r="H39" s="72">
        <f>('CableSatIPTV (RV)'!H39)/('CableSatIPTV (RV)'!H47)*100</f>
        <v>0.7190623427051126</v>
      </c>
      <c r="I39" s="72">
        <f>('CableSatIPTV (RV)'!I39)/('CableSatIPTV (RV)'!I47)*100</f>
        <v>0.71166810501169431</v>
      </c>
      <c r="J39" s="72">
        <f>('CableSatIPTV (RV)'!J39)/('CableSatIPTV (RV)'!J47)*100</f>
        <v>0.83460415410622868</v>
      </c>
      <c r="K39" s="72">
        <f>('CableSatIPTV (RV)'!K39)/('CableSatIPTV (RV)'!K47)*100</f>
        <v>0.91697037660031788</v>
      </c>
      <c r="L39" s="72">
        <f>('CableSatIPTV (RV)'!L39)/('CableSatIPTV (RV)'!L47)*100</f>
        <v>0.93246454928984868</v>
      </c>
      <c r="M39" s="72">
        <f>('CableSatIPTV (RV)'!M39)/('CableSatIPTV (RV)'!M47)*100</f>
        <v>0.95490002689859244</v>
      </c>
      <c r="N39" s="5"/>
      <c r="O39" s="5"/>
      <c r="P39" s="5"/>
      <c r="Q39" s="5"/>
      <c r="R39" s="5"/>
      <c r="S39" s="5"/>
      <c r="T39" s="5"/>
    </row>
    <row r="40" spans="1:20" ht="15.75" customHeight="1" x14ac:dyDescent="0.2">
      <c r="A40" s="5" t="s">
        <v>556</v>
      </c>
      <c r="B40" s="81"/>
      <c r="C40" s="81"/>
      <c r="D40" s="81"/>
      <c r="E40" s="72">
        <f>('CableSatIPTV (RV)'!E40)/('CableSatIPTV (RV)'!E47)*100</f>
        <v>0.79289609322477028</v>
      </c>
      <c r="F40" s="72">
        <f>('CableSatIPTV (RV)'!F40)/('CableSatIPTV (RV)'!F47)*100</f>
        <v>0.61768401090434999</v>
      </c>
      <c r="G40" s="72">
        <f>('CableSatIPTV (RV)'!G40)/('CableSatIPTV (RV)'!G47)*100</f>
        <v>0.57201254117553679</v>
      </c>
      <c r="H40" s="72">
        <f>('CableSatIPTV (RV)'!H40)/('CableSatIPTV (RV)'!H47)*100</f>
        <v>0.530668008916373</v>
      </c>
      <c r="I40" s="72">
        <f>('CableSatIPTV (RV)'!I40)/('CableSatIPTV (RV)'!I47)*100</f>
        <v>0.62536740334946783</v>
      </c>
      <c r="J40" s="72">
        <f>('CableSatIPTV (RV)'!J40)/('CableSatIPTV (RV)'!J47)*100</f>
        <v>0.60762965327280671</v>
      </c>
      <c r="K40" s="72">
        <f>('CableSatIPTV (RV)'!K40)/('CableSatIPTV (RV)'!K47)*100</f>
        <v>0.61793290346696572</v>
      </c>
      <c r="L40" s="72">
        <f>('CableSatIPTV (RV)'!L40)/('CableSatIPTV (RV)'!L47)*100</f>
        <v>0.62315923537906959</v>
      </c>
      <c r="M40" s="72">
        <f>('CableSatIPTV (RV)'!M40)/('CableSatIPTV (RV)'!M47)*100</f>
        <v>0.61949428404913476</v>
      </c>
      <c r="N40" s="5"/>
      <c r="O40" s="5"/>
      <c r="P40" s="5"/>
      <c r="Q40" s="5"/>
      <c r="R40" s="5"/>
      <c r="S40" s="5"/>
      <c r="T40" s="5"/>
    </row>
    <row r="41" spans="1:20" ht="15.75" customHeight="1" x14ac:dyDescent="0.2">
      <c r="A41" s="5" t="s">
        <v>177</v>
      </c>
      <c r="B41" s="81"/>
      <c r="C41" s="81"/>
      <c r="D41" s="81"/>
      <c r="E41" s="81"/>
      <c r="F41" s="81"/>
      <c r="G41" s="72">
        <f>('CableSatIPTV (RV)'!G41)/('CableSatIPTV (RV)'!G47)*100</f>
        <v>6.9055839980950121E-2</v>
      </c>
      <c r="H41" s="72">
        <f>('CableSatIPTV (RV)'!H41)/('CableSatIPTV (RV)'!H47)*100</f>
        <v>7.4235996260875819E-2</v>
      </c>
      <c r="I41" s="72">
        <f>('CableSatIPTV (RV)'!I41)/('CableSatIPTV (RV)'!I47)*100</f>
        <v>8.7776568734131297E-2</v>
      </c>
      <c r="J41" s="72">
        <f>('CableSatIPTV (RV)'!J41)/('CableSatIPTV (RV)'!J47)*100</f>
        <v>9.2563038621129898E-2</v>
      </c>
      <c r="K41" s="72">
        <f>('CableSatIPTV (RV)'!K41)/('CableSatIPTV (RV)'!K47)*100</f>
        <v>8.6043360433604346E-2</v>
      </c>
      <c r="L41" s="72">
        <f>('CableSatIPTV (RV)'!L41)/('CableSatIPTV (RV)'!L47)*100</f>
        <v>8.2443511979895162E-2</v>
      </c>
      <c r="M41" s="72">
        <f>('CableSatIPTV (RV)'!M41)/('CableSatIPTV (RV)'!M47)*100</f>
        <v>8.0695776921007809E-2</v>
      </c>
      <c r="N41" s="5"/>
      <c r="O41" s="5"/>
      <c r="P41" s="5"/>
      <c r="Q41" s="5"/>
      <c r="R41" s="5"/>
      <c r="S41" s="5"/>
      <c r="T41" s="5"/>
    </row>
    <row r="42" spans="1:20" ht="15.75" customHeight="1" x14ac:dyDescent="0.2">
      <c r="A42" s="5" t="s">
        <v>568</v>
      </c>
      <c r="B42" s="81"/>
      <c r="C42" s="81"/>
      <c r="D42" s="81"/>
      <c r="E42" s="81"/>
      <c r="F42" s="72">
        <f>('CableSatIPTV (RV)'!F42)/('CableSatIPTV (RV)'!F47)*100</f>
        <v>0.74908142704752878</v>
      </c>
      <c r="G42" s="72">
        <f>('CableSatIPTV (RV)'!G42)/('CableSatIPTV (RV)'!G47)*100</f>
        <v>0.45243481366829386</v>
      </c>
      <c r="H42" s="72">
        <f>('CableSatIPTV (RV)'!H42)/('CableSatIPTV (RV)'!H47)*100</f>
        <v>0.12511684763068956</v>
      </c>
      <c r="I42" s="5" t="s">
        <v>331</v>
      </c>
      <c r="J42" s="5"/>
      <c r="K42" s="5"/>
      <c r="L42" s="5"/>
      <c r="M42" s="5"/>
      <c r="N42" s="5"/>
      <c r="O42" s="5"/>
      <c r="P42" s="5"/>
      <c r="Q42" s="5"/>
      <c r="R42" s="5"/>
      <c r="S42" s="5"/>
      <c r="T42" s="5"/>
    </row>
    <row r="43" spans="1:20" ht="15.75" customHeight="1" x14ac:dyDescent="0.2">
      <c r="A43" s="5" t="s">
        <v>247</v>
      </c>
      <c r="B43" s="81"/>
      <c r="C43" s="81"/>
      <c r="D43" s="81"/>
      <c r="E43" s="81"/>
      <c r="F43" s="81"/>
      <c r="G43" s="81"/>
      <c r="H43" s="72">
        <f>('CableSatIPTV (RV)'!H43)/('CableSatIPTV (RV)'!H47)*100</f>
        <v>1.5819371539512479E-2</v>
      </c>
      <c r="I43" s="72">
        <f>('CableSatIPTV (RV)'!I43)/('CableSatIPTV (RV)'!I47)*100</f>
        <v>1.6259552487086163E-2</v>
      </c>
      <c r="J43" s="5"/>
      <c r="K43" s="5"/>
      <c r="L43" s="5"/>
      <c r="M43" s="5"/>
      <c r="N43" s="5"/>
      <c r="O43" s="5"/>
      <c r="P43" s="5"/>
      <c r="Q43" s="5"/>
      <c r="R43" s="5"/>
      <c r="S43" s="5"/>
      <c r="T43" s="5"/>
    </row>
    <row r="44" spans="1:20" ht="15.75" customHeight="1" x14ac:dyDescent="0.2">
      <c r="A44" s="5"/>
      <c r="B44" s="81"/>
      <c r="C44" s="81"/>
      <c r="D44" s="81"/>
      <c r="E44" s="81"/>
      <c r="F44" s="81"/>
      <c r="G44" s="81"/>
      <c r="H44" s="5"/>
      <c r="I44" s="5"/>
      <c r="J44" s="5"/>
      <c r="K44" s="5"/>
      <c r="L44" s="5"/>
      <c r="M44" s="5"/>
      <c r="N44" s="5"/>
      <c r="O44" s="5"/>
      <c r="P44" s="5"/>
      <c r="Q44" s="5"/>
      <c r="R44" s="5"/>
      <c r="S44" s="5"/>
      <c r="T44" s="5"/>
    </row>
    <row r="45" spans="1:20" ht="15.75" customHeight="1" x14ac:dyDescent="0.25">
      <c r="A45" s="9"/>
      <c r="B45" s="11"/>
      <c r="C45" s="11"/>
      <c r="D45" s="11"/>
      <c r="E45" s="11"/>
      <c r="F45" s="11"/>
      <c r="G45" s="11"/>
      <c r="H45" s="9"/>
      <c r="I45" s="9"/>
      <c r="J45" s="9"/>
      <c r="K45" s="9"/>
      <c r="L45" s="9"/>
      <c r="M45" s="9"/>
      <c r="N45" s="9"/>
      <c r="O45" s="9"/>
      <c r="P45" s="9"/>
      <c r="Q45" s="9"/>
      <c r="R45" s="9"/>
      <c r="S45" s="9"/>
      <c r="T45" s="9"/>
    </row>
    <row r="46" spans="1:20" ht="15.75" customHeight="1" x14ac:dyDescent="0.25">
      <c r="A46" s="9"/>
      <c r="B46" s="11"/>
      <c r="C46" s="11"/>
      <c r="D46" s="11"/>
      <c r="E46" s="11"/>
      <c r="F46" s="11"/>
      <c r="G46" s="11"/>
      <c r="H46" s="9"/>
      <c r="I46" s="9"/>
      <c r="J46" s="9"/>
      <c r="K46" s="9"/>
      <c r="L46" s="9"/>
      <c r="M46" s="9"/>
      <c r="N46" s="9"/>
      <c r="O46" s="9"/>
      <c r="P46" s="9"/>
      <c r="Q46" s="9"/>
      <c r="R46" s="9"/>
      <c r="S46" s="9"/>
      <c r="T46" s="9"/>
    </row>
    <row r="47" spans="1:20" ht="15.75" customHeight="1" x14ac:dyDescent="0.25">
      <c r="A47" s="41" t="s">
        <v>350</v>
      </c>
      <c r="B47" s="356">
        <f>'CableSatIPTV (RV)'!B47</f>
        <v>716.3</v>
      </c>
      <c r="C47" s="356">
        <f>'CableSatIPTV (RV)'!C47</f>
        <v>1242.9000000000001</v>
      </c>
      <c r="D47" s="356">
        <f>'CableSatIPTV (RV)'!D47</f>
        <v>1651.4</v>
      </c>
      <c r="E47" s="356">
        <f>'CableSatIPTV (RV)'!E47</f>
        <v>2677.4</v>
      </c>
      <c r="F47" s="356">
        <f>'CableSatIPTV (RV)'!F47</f>
        <v>4218.5</v>
      </c>
      <c r="G47" s="356">
        <f>'CableSatIPTV (RV)'!G47</f>
        <v>5039.3999999999996</v>
      </c>
      <c r="H47" s="356">
        <f>'CableSatIPTV (RV)'!H47</f>
        <v>6953.5</v>
      </c>
      <c r="I47" s="185">
        <f>'CableSatIPTV (RV)'!I47</f>
        <v>7995.3</v>
      </c>
      <c r="J47" s="185">
        <f>'CableSatIPTV (RV)'!J47</f>
        <v>8459.1</v>
      </c>
      <c r="K47" s="185">
        <f>'CableSatIPTV (RV)'!K47</f>
        <v>8560.7999999999993</v>
      </c>
      <c r="L47" s="185">
        <f>'CableSatIPTV (RV)'!L47</f>
        <v>8793.9</v>
      </c>
      <c r="M47" s="358">
        <f>'CableSatIPTV (RV)'!M47</f>
        <v>8922.4</v>
      </c>
      <c r="N47" s="46"/>
      <c r="O47" s="46"/>
      <c r="P47" s="46"/>
      <c r="Q47" s="46"/>
      <c r="R47" s="46"/>
      <c r="S47" s="46"/>
      <c r="T47" s="46"/>
    </row>
    <row r="48" spans="1:20" ht="15.75" customHeight="1" x14ac:dyDescent="0.25">
      <c r="A48" s="41" t="s">
        <v>42</v>
      </c>
      <c r="B48" s="363">
        <f>SUM(B22+B3+B24+B8)</f>
        <v>41.114058355437663</v>
      </c>
      <c r="C48" s="47">
        <f t="shared" ref="C48:D48" si="0">SUM(C22+C28+C3+C24)</f>
        <v>53.809638748089135</v>
      </c>
      <c r="D48" s="47">
        <f t="shared" si="0"/>
        <v>69.171611965604939</v>
      </c>
      <c r="E48" s="47">
        <f t="shared" ref="E48:F48" si="1">SUM(E22+E28+E3+E33)</f>
        <v>84.976171434974233</v>
      </c>
      <c r="F48" s="47">
        <f t="shared" si="1"/>
        <v>75.164345114247411</v>
      </c>
      <c r="G48" s="47">
        <f t="shared" ref="G48:M48" si="2">SUM(G22+G27+G3+G19)</f>
        <v>87.109576536889321</v>
      </c>
      <c r="H48" s="47">
        <f t="shared" si="2"/>
        <v>83.329258646724668</v>
      </c>
      <c r="I48" s="47">
        <f t="shared" si="2"/>
        <v>85.053719059947724</v>
      </c>
      <c r="J48" s="47">
        <f t="shared" si="2"/>
        <v>84.115331418235968</v>
      </c>
      <c r="K48" s="47">
        <f t="shared" si="2"/>
        <v>82.25633118400151</v>
      </c>
      <c r="L48" s="47">
        <f t="shared" si="2"/>
        <v>80.612231205722154</v>
      </c>
      <c r="M48" s="47">
        <f t="shared" si="2"/>
        <v>82.150542454944855</v>
      </c>
      <c r="N48" s="11"/>
      <c r="O48" s="11"/>
      <c r="P48" s="11"/>
      <c r="Q48" s="11"/>
      <c r="R48" s="11"/>
      <c r="S48" s="11"/>
      <c r="T48" s="11"/>
    </row>
    <row r="49" spans="1:20" ht="15.75" customHeight="1" x14ac:dyDescent="0.25">
      <c r="A49" s="41" t="s">
        <v>43</v>
      </c>
      <c r="B49" s="47">
        <f t="shared" ref="B49:M49" si="3">SUMSQ(B3,B6:B19,B22:B43)</f>
        <v>760.65637301246875</v>
      </c>
      <c r="C49" s="47">
        <f t="shared" si="3"/>
        <v>1010.9557777758484</v>
      </c>
      <c r="D49" s="47">
        <f t="shared" si="3"/>
        <v>1599.1150978814303</v>
      </c>
      <c r="E49" s="47">
        <f t="shared" si="3"/>
        <v>2314.5581864967471</v>
      </c>
      <c r="F49" s="47">
        <f t="shared" si="3"/>
        <v>1728.8963126933834</v>
      </c>
      <c r="G49" s="47">
        <f t="shared" si="3"/>
        <v>2205.6926218266995</v>
      </c>
      <c r="H49" s="47">
        <f t="shared" si="3"/>
        <v>1947.8814498903726</v>
      </c>
      <c r="I49" s="47">
        <f t="shared" si="3"/>
        <v>2032.0632426852358</v>
      </c>
      <c r="J49" s="47">
        <f t="shared" si="3"/>
        <v>1980.7016969431977</v>
      </c>
      <c r="K49" s="47">
        <f t="shared" si="3"/>
        <v>1882.6753670593846</v>
      </c>
      <c r="L49" s="47">
        <f t="shared" si="3"/>
        <v>1818.6934115554773</v>
      </c>
      <c r="M49" s="47">
        <f t="shared" si="3"/>
        <v>1924.4610907916306</v>
      </c>
      <c r="N49" s="11"/>
      <c r="O49" s="11"/>
      <c r="P49" s="11"/>
      <c r="Q49" s="11"/>
      <c r="R49" s="11"/>
      <c r="S49" s="11"/>
      <c r="T49" s="11"/>
    </row>
    <row r="50" spans="1:20" ht="15.75" customHeight="1" x14ac:dyDescent="0.25">
      <c r="A50" s="9"/>
      <c r="B50" s="11"/>
      <c r="C50" s="11"/>
      <c r="D50" s="11"/>
      <c r="E50" s="11"/>
      <c r="F50" s="11"/>
      <c r="G50" s="11"/>
      <c r="H50" s="11"/>
      <c r="I50" s="11"/>
      <c r="J50" s="11"/>
      <c r="K50" s="9"/>
      <c r="L50" s="9"/>
      <c r="M50" s="25"/>
      <c r="N50" s="25"/>
      <c r="O50" s="25"/>
      <c r="P50" s="25"/>
      <c r="Q50" s="25"/>
      <c r="R50" s="25"/>
      <c r="S50" s="25"/>
      <c r="T50" s="25"/>
    </row>
    <row r="51" spans="1:20" ht="15.75" customHeight="1" x14ac:dyDescent="0.25">
      <c r="A51" s="25"/>
      <c r="B51" s="41"/>
      <c r="C51" s="25"/>
      <c r="D51" s="25"/>
      <c r="E51" s="25"/>
      <c r="F51" s="25"/>
      <c r="G51" s="25"/>
      <c r="H51" s="25"/>
      <c r="I51" s="25"/>
      <c r="J51" s="25"/>
      <c r="K51" s="25"/>
      <c r="L51" s="25"/>
      <c r="M51" s="25"/>
      <c r="N51" s="25"/>
      <c r="O51" s="25"/>
      <c r="P51" s="25"/>
      <c r="Q51" s="25"/>
      <c r="R51" s="25"/>
      <c r="S51" s="25"/>
      <c r="T51" s="25"/>
    </row>
    <row r="52" spans="1:20" ht="15.75" customHeight="1" x14ac:dyDescent="0.25">
      <c r="A52" s="25"/>
      <c r="B52" s="25"/>
      <c r="C52" s="25"/>
      <c r="D52" s="25"/>
      <c r="E52" s="25"/>
      <c r="F52" s="25"/>
      <c r="G52" s="25"/>
      <c r="H52" s="25"/>
      <c r="I52" s="25"/>
      <c r="J52" s="25"/>
      <c r="K52" s="25"/>
      <c r="L52" s="25"/>
      <c r="M52" s="25"/>
      <c r="N52" s="25"/>
      <c r="O52" s="25"/>
      <c r="P52" s="25"/>
      <c r="Q52" s="25"/>
      <c r="R52" s="25"/>
      <c r="S52" s="25"/>
      <c r="T52" s="25"/>
    </row>
    <row r="53" spans="1:20" ht="15.75" customHeight="1" x14ac:dyDescent="0.25">
      <c r="A53" s="25"/>
      <c r="B53" s="25"/>
      <c r="C53" s="25"/>
      <c r="D53" s="25"/>
      <c r="E53" s="25"/>
      <c r="F53" s="25"/>
      <c r="G53" s="25"/>
      <c r="H53" s="25"/>
      <c r="I53" s="25"/>
      <c r="J53" s="25"/>
      <c r="K53" s="25"/>
      <c r="L53" s="25"/>
      <c r="M53" s="25"/>
      <c r="N53" s="25"/>
      <c r="O53" s="25"/>
      <c r="P53" s="25"/>
      <c r="Q53" s="25"/>
      <c r="R53" s="25"/>
      <c r="S53" s="25"/>
      <c r="T53" s="25"/>
    </row>
    <row r="54" spans="1:20" ht="15.75" customHeight="1" x14ac:dyDescent="0.25">
      <c r="A54" s="41"/>
      <c r="B54" s="11"/>
      <c r="C54" s="11"/>
      <c r="D54" s="11"/>
      <c r="E54" s="11"/>
      <c r="F54" s="11"/>
      <c r="G54" s="11"/>
      <c r="H54" s="11"/>
      <c r="I54" s="11"/>
      <c r="J54" s="11"/>
      <c r="K54" s="9"/>
      <c r="L54" s="9"/>
      <c r="M54" s="9"/>
      <c r="N54" s="9"/>
      <c r="O54" s="9"/>
      <c r="P54" s="9"/>
      <c r="Q54" s="9"/>
      <c r="R54" s="9"/>
      <c r="S54" s="9"/>
      <c r="T54" s="9"/>
    </row>
  </sheetData>
  <mergeCells count="2">
    <mergeCell ref="B1:M1"/>
    <mergeCell ref="O6:T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7"/>
  <sheetViews>
    <sheetView workbookViewId="0"/>
  </sheetViews>
  <sheetFormatPr defaultColWidth="17.25" defaultRowHeight="15" customHeight="1" x14ac:dyDescent="0.2"/>
  <cols>
    <col min="1" max="1" width="17.75" customWidth="1"/>
    <col min="2" max="11" width="10.75" customWidth="1"/>
    <col min="12" max="12" width="11" customWidth="1"/>
    <col min="13" max="24" width="10.75" customWidth="1"/>
    <col min="25" max="25" width="11" customWidth="1"/>
    <col min="26" max="36" width="10.75" customWidth="1"/>
    <col min="37" max="37" width="11" customWidth="1"/>
    <col min="38" max="39" width="10.75" customWidth="1"/>
  </cols>
  <sheetData>
    <row r="1" spans="1:39" ht="15.75" customHeight="1" x14ac:dyDescent="0.25">
      <c r="A1" s="635" t="s">
        <v>53</v>
      </c>
      <c r="B1" s="636"/>
      <c r="C1" s="636"/>
      <c r="D1" s="636"/>
      <c r="E1" s="636"/>
      <c r="F1" s="637"/>
      <c r="G1" s="127"/>
      <c r="H1" s="127"/>
      <c r="I1" s="129"/>
      <c r="J1" s="127"/>
      <c r="K1" s="130"/>
      <c r="L1" s="130"/>
      <c r="M1" s="127"/>
      <c r="N1" s="132" t="s">
        <v>197</v>
      </c>
      <c r="O1" s="127"/>
      <c r="P1" s="127"/>
      <c r="Q1" s="127"/>
      <c r="R1" s="127"/>
      <c r="S1" s="127"/>
      <c r="T1" s="127"/>
      <c r="U1" s="127"/>
      <c r="V1" s="127"/>
      <c r="W1" s="133"/>
      <c r="X1" s="133"/>
      <c r="Y1" s="133"/>
      <c r="Z1" s="134"/>
      <c r="AA1" s="132" t="s">
        <v>200</v>
      </c>
      <c r="AB1" s="127"/>
      <c r="AC1" s="127"/>
      <c r="AD1" s="127"/>
      <c r="AE1" s="127"/>
      <c r="AF1" s="133"/>
      <c r="AG1" s="133"/>
      <c r="AH1" s="133"/>
      <c r="AI1" s="133"/>
      <c r="AJ1" s="133"/>
      <c r="AK1" s="133"/>
      <c r="AL1" s="135"/>
      <c r="AM1" s="135"/>
    </row>
    <row r="2" spans="1:39" ht="15.75" customHeight="1" x14ac:dyDescent="0.25">
      <c r="A2" s="136"/>
      <c r="B2" s="186">
        <v>2004</v>
      </c>
      <c r="C2" s="186">
        <v>2005</v>
      </c>
      <c r="D2" s="186">
        <v>2006</v>
      </c>
      <c r="E2" s="186">
        <v>2007</v>
      </c>
      <c r="F2" s="186">
        <v>2008</v>
      </c>
      <c r="G2" s="186">
        <v>2009</v>
      </c>
      <c r="H2" s="186">
        <v>2010</v>
      </c>
      <c r="I2" s="186">
        <v>2011</v>
      </c>
      <c r="J2" s="186">
        <v>2012</v>
      </c>
      <c r="K2" s="186">
        <v>2013</v>
      </c>
      <c r="L2" s="186">
        <v>2014</v>
      </c>
      <c r="M2" s="187"/>
      <c r="N2" s="129"/>
      <c r="O2" s="186">
        <v>2004</v>
      </c>
      <c r="P2" s="186">
        <v>2005</v>
      </c>
      <c r="Q2" s="186">
        <v>2006</v>
      </c>
      <c r="R2" s="186">
        <v>2007</v>
      </c>
      <c r="S2" s="186">
        <v>2008</v>
      </c>
      <c r="T2" s="186">
        <v>2009</v>
      </c>
      <c r="U2" s="186">
        <v>2010</v>
      </c>
      <c r="V2" s="186">
        <v>2011</v>
      </c>
      <c r="W2" s="186">
        <v>2012</v>
      </c>
      <c r="X2" s="186">
        <v>2013</v>
      </c>
      <c r="Y2" s="186">
        <v>2014</v>
      </c>
      <c r="Z2" s="186"/>
      <c r="AA2" s="189">
        <v>2004</v>
      </c>
      <c r="AB2" s="189">
        <v>2005</v>
      </c>
      <c r="AC2" s="189">
        <v>2006</v>
      </c>
      <c r="AD2" s="189">
        <v>2007</v>
      </c>
      <c r="AE2" s="189">
        <v>2008</v>
      </c>
      <c r="AF2" s="189">
        <v>2009</v>
      </c>
      <c r="AG2" s="189">
        <v>2010</v>
      </c>
      <c r="AH2" s="189">
        <v>2011</v>
      </c>
      <c r="AI2" s="189">
        <v>2012</v>
      </c>
      <c r="AJ2" s="189">
        <v>2013</v>
      </c>
      <c r="AK2" s="189">
        <v>2014</v>
      </c>
      <c r="AL2" s="191"/>
      <c r="AM2" s="192"/>
    </row>
    <row r="3" spans="1:39" ht="15.75" customHeight="1" x14ac:dyDescent="0.25">
      <c r="A3" s="130" t="s">
        <v>325</v>
      </c>
      <c r="B3" s="225"/>
      <c r="C3" s="225"/>
      <c r="D3" s="226"/>
      <c r="E3" s="226"/>
      <c r="F3" s="226"/>
      <c r="G3" s="226"/>
      <c r="H3" s="228">
        <v>8.9154</v>
      </c>
      <c r="I3" s="228">
        <v>32.513447999999997</v>
      </c>
      <c r="J3" s="228">
        <v>178.77456000000001</v>
      </c>
      <c r="K3" s="228">
        <v>288.75110039999998</v>
      </c>
      <c r="L3" s="235">
        <v>593.1</v>
      </c>
      <c r="M3" s="236"/>
      <c r="N3" s="259" t="s">
        <v>325</v>
      </c>
      <c r="O3" s="225"/>
      <c r="P3" s="225"/>
      <c r="Q3" s="225"/>
      <c r="R3" s="225"/>
      <c r="S3" s="225"/>
      <c r="T3" s="225"/>
      <c r="U3" s="262">
        <v>13000</v>
      </c>
      <c r="V3" s="262">
        <v>50644</v>
      </c>
      <c r="W3" s="262">
        <v>248298</v>
      </c>
      <c r="X3" s="262">
        <v>479430</v>
      </c>
      <c r="Y3" s="264">
        <v>700533</v>
      </c>
      <c r="Z3" s="266"/>
      <c r="AA3" s="269"/>
      <c r="AB3" s="269"/>
      <c r="AC3" s="269"/>
      <c r="AD3" s="269"/>
      <c r="AE3" s="269"/>
      <c r="AF3" s="269"/>
      <c r="AG3" s="269">
        <v>57.15</v>
      </c>
      <c r="AH3" s="269">
        <v>53.5</v>
      </c>
      <c r="AI3" s="271">
        <v>60</v>
      </c>
      <c r="AJ3" s="271">
        <v>50.19</v>
      </c>
      <c r="AK3" s="273">
        <v>56.14</v>
      </c>
      <c r="AL3" s="301"/>
      <c r="AM3" s="192"/>
    </row>
    <row r="4" spans="1:39" ht="15.75" customHeight="1" x14ac:dyDescent="0.2">
      <c r="A4" s="130" t="s">
        <v>541</v>
      </c>
      <c r="B4" s="225"/>
      <c r="C4" s="225"/>
      <c r="D4" s="226"/>
      <c r="E4" s="226"/>
      <c r="F4" s="226"/>
      <c r="G4" s="226"/>
      <c r="H4" s="226">
        <v>14.877917999999999</v>
      </c>
      <c r="I4" s="226">
        <v>45.588695999999999</v>
      </c>
      <c r="J4" s="226">
        <v>81.296536800000013</v>
      </c>
      <c r="K4" s="236">
        <v>107.25582924</v>
      </c>
      <c r="L4" s="303">
        <v>122.7</v>
      </c>
      <c r="M4" s="314"/>
      <c r="N4" s="259" t="s">
        <v>541</v>
      </c>
      <c r="O4" s="225"/>
      <c r="P4" s="225"/>
      <c r="Q4" s="225"/>
      <c r="R4" s="225"/>
      <c r="S4" s="225"/>
      <c r="T4" s="225"/>
      <c r="U4" s="262">
        <v>46575</v>
      </c>
      <c r="V4" s="262">
        <v>77060</v>
      </c>
      <c r="W4" s="262">
        <v>123020</v>
      </c>
      <c r="X4" s="262">
        <v>178083</v>
      </c>
      <c r="Y4" s="264">
        <v>218537</v>
      </c>
      <c r="Z4" s="266"/>
      <c r="AA4" s="269"/>
      <c r="AB4" s="269"/>
      <c r="AC4" s="269"/>
      <c r="AD4" s="269"/>
      <c r="AE4" s="269"/>
      <c r="AF4" s="269"/>
      <c r="AG4" s="269">
        <v>26.62</v>
      </c>
      <c r="AH4" s="269">
        <v>49.3</v>
      </c>
      <c r="AI4" s="271">
        <v>55.07</v>
      </c>
      <c r="AJ4" s="271">
        <v>50.19</v>
      </c>
      <c r="AK4" s="273">
        <v>56.14</v>
      </c>
      <c r="AL4" s="301"/>
      <c r="AM4" s="301"/>
    </row>
    <row r="5" spans="1:39" ht="15.75" customHeight="1" x14ac:dyDescent="0.2">
      <c r="A5" s="130" t="s">
        <v>11</v>
      </c>
      <c r="B5" s="225"/>
      <c r="C5" s="225"/>
      <c r="D5" s="225"/>
      <c r="E5" s="225">
        <v>19.891200000000001</v>
      </c>
      <c r="F5" s="318">
        <v>47.19312</v>
      </c>
      <c r="G5" s="318">
        <v>109.7316</v>
      </c>
      <c r="H5" s="318">
        <v>215.34119999999999</v>
      </c>
      <c r="I5" s="318">
        <v>362.87628000000001</v>
      </c>
      <c r="J5" s="318">
        <v>493.52976000000001</v>
      </c>
      <c r="K5" s="228">
        <v>561.17639999999994</v>
      </c>
      <c r="L5" s="319">
        <v>697.7</v>
      </c>
      <c r="M5" s="320"/>
      <c r="N5" s="259" t="s">
        <v>11</v>
      </c>
      <c r="O5" s="225"/>
      <c r="P5" s="225"/>
      <c r="Q5" s="225"/>
      <c r="R5" s="225">
        <v>35000</v>
      </c>
      <c r="S5" s="322">
        <v>78000</v>
      </c>
      <c r="T5" s="322">
        <v>170000</v>
      </c>
      <c r="U5" s="262">
        <v>314000</v>
      </c>
      <c r="V5" s="262">
        <v>509000</v>
      </c>
      <c r="W5" s="324">
        <v>678000</v>
      </c>
      <c r="X5" s="225">
        <v>815000</v>
      </c>
      <c r="Y5" s="325">
        <v>916000</v>
      </c>
      <c r="Z5" s="326"/>
      <c r="AA5" s="269"/>
      <c r="AB5" s="269"/>
      <c r="AC5" s="269"/>
      <c r="AD5" s="269">
        <v>47.36</v>
      </c>
      <c r="AE5" s="269">
        <v>49.88</v>
      </c>
      <c r="AF5" s="271">
        <v>51.42</v>
      </c>
      <c r="AG5" s="269">
        <v>45.826666666666661</v>
      </c>
      <c r="AH5" s="269">
        <v>55.06</v>
      </c>
      <c r="AI5" s="271">
        <v>60.663333333333334</v>
      </c>
      <c r="AJ5" s="271">
        <v>57.38</v>
      </c>
      <c r="AK5" s="273">
        <v>63.47</v>
      </c>
      <c r="AL5" s="301"/>
      <c r="AM5" s="301"/>
    </row>
    <row r="6" spans="1:39" ht="15.75" customHeight="1" x14ac:dyDescent="0.2">
      <c r="A6" s="130" t="s">
        <v>553</v>
      </c>
      <c r="B6" s="324">
        <v>8.4</v>
      </c>
      <c r="C6" s="228">
        <v>22.9</v>
      </c>
      <c r="D6" s="324">
        <v>32.200000000000003</v>
      </c>
      <c r="E6" s="328">
        <v>37.91155328</v>
      </c>
      <c r="F6" s="330">
        <v>46.811553279999998</v>
      </c>
      <c r="G6" s="328">
        <v>51.6931504</v>
      </c>
      <c r="H6" s="330">
        <v>56.1931504</v>
      </c>
      <c r="I6" s="318">
        <v>70.599999999999994</v>
      </c>
      <c r="J6" s="318">
        <v>78.5</v>
      </c>
      <c r="K6" s="318">
        <v>82</v>
      </c>
      <c r="L6" s="331">
        <v>85.2</v>
      </c>
      <c r="M6" s="236"/>
      <c r="N6" s="259" t="s">
        <v>553</v>
      </c>
      <c r="O6" s="262">
        <v>32578</v>
      </c>
      <c r="P6" s="262">
        <v>51561</v>
      </c>
      <c r="Q6" s="262">
        <v>59442</v>
      </c>
      <c r="R6" s="262">
        <v>76758</v>
      </c>
      <c r="S6" s="262">
        <v>82278</v>
      </c>
      <c r="T6" s="262">
        <v>86520</v>
      </c>
      <c r="U6" s="262">
        <v>89967</v>
      </c>
      <c r="V6" s="262">
        <v>95476</v>
      </c>
      <c r="W6" s="262">
        <v>97232</v>
      </c>
      <c r="X6" s="262">
        <v>104861</v>
      </c>
      <c r="Y6" s="334">
        <v>108096</v>
      </c>
      <c r="Z6" s="266"/>
      <c r="AA6" s="269">
        <v>27.62</v>
      </c>
      <c r="AB6" s="269">
        <v>37.011177698906799</v>
      </c>
      <c r="AC6" s="269">
        <v>46</v>
      </c>
      <c r="AD6" s="269">
        <v>47.36</v>
      </c>
      <c r="AE6" s="269">
        <v>49.88</v>
      </c>
      <c r="AF6" s="271">
        <v>51.42</v>
      </c>
      <c r="AG6" s="269">
        <v>53.71</v>
      </c>
      <c r="AH6" s="269">
        <v>62.38</v>
      </c>
      <c r="AI6" s="271">
        <v>66.92</v>
      </c>
      <c r="AJ6" s="271">
        <v>66.58</v>
      </c>
      <c r="AK6" s="273">
        <v>65.040000000000006</v>
      </c>
      <c r="AL6" s="301"/>
      <c r="AM6" s="301"/>
    </row>
    <row r="7" spans="1:39" ht="15.75" customHeight="1" x14ac:dyDescent="0.2">
      <c r="A7" s="130" t="s">
        <v>555</v>
      </c>
      <c r="B7" s="318">
        <v>8.2859999999999996</v>
      </c>
      <c r="C7" s="318">
        <v>18.693161498031461</v>
      </c>
      <c r="D7" s="318">
        <v>28.304904000000001</v>
      </c>
      <c r="E7" s="318">
        <v>35.37451008</v>
      </c>
      <c r="F7" s="318">
        <v>42.176333280000001</v>
      </c>
      <c r="G7" s="318">
        <v>48.024840240000003</v>
      </c>
      <c r="H7" s="318">
        <v>56.895790920000003</v>
      </c>
      <c r="I7" s="318">
        <v>63.307429199999994</v>
      </c>
      <c r="J7" s="318">
        <v>70.801872899999992</v>
      </c>
      <c r="K7" s="228">
        <v>70.459000199999991</v>
      </c>
      <c r="L7" s="319">
        <v>79.900000000000006</v>
      </c>
      <c r="M7" s="314"/>
      <c r="N7" s="259" t="s">
        <v>555</v>
      </c>
      <c r="O7" s="262">
        <v>25000</v>
      </c>
      <c r="P7" s="262">
        <v>42089</v>
      </c>
      <c r="Q7" s="262">
        <v>51277</v>
      </c>
      <c r="R7" s="262">
        <v>62244</v>
      </c>
      <c r="S7" s="262">
        <v>70463</v>
      </c>
      <c r="T7" s="262">
        <v>77831</v>
      </c>
      <c r="U7" s="262">
        <v>85537</v>
      </c>
      <c r="V7" s="262">
        <v>93960</v>
      </c>
      <c r="W7" s="324">
        <v>97262</v>
      </c>
      <c r="X7" s="324">
        <v>101147</v>
      </c>
      <c r="Y7" s="334">
        <v>103716</v>
      </c>
      <c r="Z7" s="343"/>
      <c r="AA7" s="269">
        <v>27.62</v>
      </c>
      <c r="AB7" s="269">
        <v>37</v>
      </c>
      <c r="AC7" s="269">
        <v>46</v>
      </c>
      <c r="AD7" s="269">
        <v>47.36</v>
      </c>
      <c r="AE7" s="269">
        <v>49.88</v>
      </c>
      <c r="AF7" s="271">
        <f t="shared" ref="AF7:AG7" si="0">AVERAGE(AF5:AF6)</f>
        <v>51.42</v>
      </c>
      <c r="AG7" s="269">
        <f t="shared" si="0"/>
        <v>49.768333333333331</v>
      </c>
      <c r="AH7" s="269">
        <f t="shared" ref="AH7:AI7" si="1">AVERAGE(AH3:AH6)</f>
        <v>55.06</v>
      </c>
      <c r="AI7" s="271">
        <f t="shared" si="1"/>
        <v>60.663333333333327</v>
      </c>
      <c r="AJ7" s="271">
        <f>AVERAGE(AJ4:AJ6)</f>
        <v>58.04999999999999</v>
      </c>
      <c r="AK7" s="271">
        <f>(AK3+AK5+AK6)/3</f>
        <v>61.550000000000004</v>
      </c>
      <c r="AL7" s="301"/>
      <c r="AM7" s="301"/>
    </row>
    <row r="8" spans="1:39" ht="15.75" customHeight="1" x14ac:dyDescent="0.2">
      <c r="A8" s="130" t="s">
        <v>569</v>
      </c>
      <c r="B8" s="225">
        <v>16.686</v>
      </c>
      <c r="C8" s="225">
        <v>41.593161498031463</v>
      </c>
      <c r="D8" s="226">
        <v>60.504904000000003</v>
      </c>
      <c r="E8" s="226">
        <v>98.888816640000016</v>
      </c>
      <c r="F8" s="226">
        <v>139.36945327999999</v>
      </c>
      <c r="G8" s="226">
        <v>211.14274104</v>
      </c>
      <c r="H8" s="226">
        <v>355.03030891999998</v>
      </c>
      <c r="I8" s="226">
        <v>574.88585320000004</v>
      </c>
      <c r="J8" s="226">
        <v>902.90272970000001</v>
      </c>
      <c r="K8" s="314">
        <v>1109.64232984</v>
      </c>
      <c r="L8" s="351">
        <f>SUM(L3:L7)</f>
        <v>1578.6000000000001</v>
      </c>
      <c r="M8" s="314"/>
      <c r="N8" s="259" t="s">
        <v>572</v>
      </c>
      <c r="O8" s="226">
        <f t="shared" ref="O8:Q8" si="2">SUM(O6:O7)</f>
        <v>57578</v>
      </c>
      <c r="P8" s="226">
        <f t="shared" si="2"/>
        <v>93650</v>
      </c>
      <c r="Q8" s="262">
        <f t="shared" si="2"/>
        <v>110719</v>
      </c>
      <c r="R8" s="262">
        <f t="shared" ref="R8:T8" si="3">SUM(R5:R7)</f>
        <v>174002</v>
      </c>
      <c r="S8" s="322">
        <f t="shared" si="3"/>
        <v>230741</v>
      </c>
      <c r="T8" s="322">
        <f t="shared" si="3"/>
        <v>334351</v>
      </c>
      <c r="U8" s="262">
        <f t="shared" ref="U8:Y8" si="4">SUM(U3:U7)</f>
        <v>549079</v>
      </c>
      <c r="V8" s="262">
        <f t="shared" si="4"/>
        <v>826140</v>
      </c>
      <c r="W8" s="262">
        <f t="shared" si="4"/>
        <v>1243812</v>
      </c>
      <c r="X8" s="262">
        <f t="shared" si="4"/>
        <v>1678521</v>
      </c>
      <c r="Y8" s="262">
        <f t="shared" si="4"/>
        <v>2046882</v>
      </c>
      <c r="Z8" s="266"/>
      <c r="AA8" s="357"/>
      <c r="AB8" s="357"/>
      <c r="AC8" s="357"/>
      <c r="AD8" s="357"/>
      <c r="AE8" s="357"/>
      <c r="AF8" s="357"/>
      <c r="AG8" s="127"/>
      <c r="AH8" s="127"/>
      <c r="AI8" s="127"/>
      <c r="AJ8" s="127"/>
      <c r="AK8" s="127"/>
      <c r="AL8" s="301"/>
      <c r="AM8" s="135"/>
    </row>
    <row r="9" spans="1:39" ht="15.75" customHeight="1" x14ac:dyDescent="0.2">
      <c r="A9" s="359"/>
      <c r="B9" s="360"/>
      <c r="C9" s="360"/>
      <c r="D9" s="127"/>
      <c r="E9" s="361"/>
      <c r="F9" s="361"/>
      <c r="G9" s="361"/>
      <c r="H9" s="361"/>
      <c r="I9" s="357"/>
      <c r="J9" s="357"/>
      <c r="K9" s="357"/>
      <c r="L9" s="269"/>
      <c r="M9" s="357"/>
      <c r="N9" s="357"/>
      <c r="O9" s="357"/>
      <c r="P9" s="357"/>
      <c r="Q9" s="357"/>
      <c r="R9" s="357"/>
      <c r="S9" s="357"/>
      <c r="T9" s="357"/>
      <c r="U9" s="357"/>
      <c r="V9" s="357"/>
      <c r="W9" s="357"/>
      <c r="X9" s="357"/>
      <c r="Y9" s="357"/>
      <c r="Z9" s="357"/>
      <c r="AA9" s="357"/>
      <c r="AB9" s="357"/>
      <c r="AC9" s="360"/>
      <c r="AD9" s="357"/>
      <c r="AE9" s="360"/>
      <c r="AF9" s="133"/>
      <c r="AG9" s="133"/>
      <c r="AH9" s="133"/>
      <c r="AI9" s="133"/>
      <c r="AJ9" s="133"/>
      <c r="AK9" s="133"/>
      <c r="AL9" s="135"/>
      <c r="AM9" s="135"/>
    </row>
    <row r="10" spans="1:39" ht="15.75" customHeight="1" x14ac:dyDescent="0.2">
      <c r="A10" s="365" t="s">
        <v>582</v>
      </c>
      <c r="B10" s="366">
        <v>2004</v>
      </c>
      <c r="C10" s="366">
        <v>2006</v>
      </c>
      <c r="D10" s="366">
        <v>2008</v>
      </c>
      <c r="E10" s="366">
        <v>2010</v>
      </c>
      <c r="F10" s="366">
        <v>2011</v>
      </c>
      <c r="G10" s="366">
        <v>2012</v>
      </c>
      <c r="H10" s="368">
        <v>2013</v>
      </c>
      <c r="I10" s="370">
        <v>2014</v>
      </c>
      <c r="J10" s="371"/>
      <c r="K10" s="371"/>
      <c r="L10" s="373"/>
      <c r="M10" s="371"/>
      <c r="N10" s="374"/>
      <c r="O10" s="366">
        <v>2004</v>
      </c>
      <c r="P10" s="366">
        <v>2005</v>
      </c>
      <c r="Q10" s="371">
        <v>2006</v>
      </c>
      <c r="R10" s="371">
        <v>2007</v>
      </c>
      <c r="S10" s="366">
        <v>2008</v>
      </c>
      <c r="T10" s="366">
        <v>2009</v>
      </c>
      <c r="U10" s="366">
        <v>2010</v>
      </c>
      <c r="V10" s="366">
        <v>2011</v>
      </c>
      <c r="W10" s="366">
        <v>2012</v>
      </c>
      <c r="X10" s="366">
        <v>2013</v>
      </c>
      <c r="Y10" s="370">
        <v>2014</v>
      </c>
      <c r="Z10" s="371"/>
      <c r="AA10" s="366"/>
      <c r="AB10" s="371"/>
      <c r="AC10" s="366"/>
      <c r="AD10" s="366"/>
      <c r="AE10" s="371"/>
      <c r="AF10" s="366"/>
      <c r="AG10" s="366"/>
      <c r="AH10" s="366"/>
      <c r="AI10" s="366"/>
      <c r="AJ10" s="366"/>
      <c r="AK10" s="366"/>
      <c r="AL10" s="376"/>
      <c r="AM10" s="376"/>
    </row>
    <row r="11" spans="1:39" ht="15.75" customHeight="1" x14ac:dyDescent="0.25">
      <c r="A11" s="377" t="s">
        <v>592</v>
      </c>
      <c r="B11" s="378">
        <v>856.7</v>
      </c>
      <c r="C11" s="303">
        <v>1118.4000000000001</v>
      </c>
      <c r="D11" s="379">
        <v>1380.1</v>
      </c>
      <c r="E11" s="380">
        <v>1674</v>
      </c>
      <c r="F11" s="379">
        <v>1799.2</v>
      </c>
      <c r="G11" s="379">
        <v>1765.5</v>
      </c>
      <c r="H11" s="381">
        <v>1747.1</v>
      </c>
      <c r="I11" s="381">
        <v>1669.9</v>
      </c>
      <c r="J11" s="133"/>
      <c r="K11" s="133"/>
      <c r="L11" s="133"/>
      <c r="M11" s="132"/>
      <c r="N11" s="382" t="s">
        <v>325</v>
      </c>
      <c r="O11" s="236"/>
      <c r="P11" s="236"/>
      <c r="Q11" s="225"/>
      <c r="R11" s="225"/>
      <c r="S11" s="236"/>
      <c r="T11" s="236"/>
      <c r="U11" s="378">
        <v>13000</v>
      </c>
      <c r="V11" s="383">
        <v>50644</v>
      </c>
      <c r="W11" s="384">
        <v>248298</v>
      </c>
      <c r="X11" s="384">
        <v>479430</v>
      </c>
      <c r="Y11" s="385">
        <v>700533</v>
      </c>
      <c r="Z11" s="259"/>
      <c r="AA11" s="386"/>
      <c r="AB11" s="357"/>
      <c r="AC11" s="273"/>
      <c r="AD11" s="357"/>
      <c r="AE11" s="357"/>
      <c r="AF11" s="357"/>
      <c r="AG11" s="360"/>
      <c r="AH11" s="360"/>
      <c r="AI11" s="271"/>
      <c r="AJ11" s="271"/>
      <c r="AK11" s="271"/>
      <c r="AL11" s="135"/>
      <c r="AM11" s="135"/>
    </row>
    <row r="12" spans="1:39" ht="15.75" customHeight="1" x14ac:dyDescent="0.25">
      <c r="A12" s="377" t="s">
        <v>61</v>
      </c>
      <c r="B12" s="236">
        <v>1574.5</v>
      </c>
      <c r="C12" s="236">
        <v>1733.1</v>
      </c>
      <c r="D12" s="388">
        <v>1977.6</v>
      </c>
      <c r="E12" s="388">
        <v>2333.6</v>
      </c>
      <c r="F12" s="388">
        <v>2369.6999999999998</v>
      </c>
      <c r="G12" s="379">
        <v>2179.5</v>
      </c>
      <c r="H12" s="381">
        <v>2124.1</v>
      </c>
      <c r="I12" s="381">
        <v>2130.1</v>
      </c>
      <c r="J12" s="133"/>
      <c r="K12" s="133"/>
      <c r="L12" s="133"/>
      <c r="M12" s="132"/>
      <c r="N12" s="382"/>
      <c r="O12" s="236"/>
      <c r="P12" s="236"/>
      <c r="Q12" s="225"/>
      <c r="R12" s="225"/>
      <c r="S12" s="236"/>
      <c r="T12" s="236"/>
      <c r="U12" s="378">
        <v>57.15</v>
      </c>
      <c r="V12" s="378">
        <v>53.5</v>
      </c>
      <c r="W12" s="389">
        <v>60</v>
      </c>
      <c r="X12" s="389">
        <v>50.19</v>
      </c>
      <c r="Y12" s="397">
        <v>56.14</v>
      </c>
      <c r="Z12" s="259"/>
      <c r="AA12" s="357"/>
      <c r="AB12" s="357"/>
      <c r="AC12" s="273"/>
      <c r="AD12" s="357"/>
      <c r="AE12" s="357"/>
      <c r="AF12" s="357"/>
      <c r="AG12" s="360"/>
      <c r="AH12" s="360"/>
      <c r="AI12" s="133"/>
      <c r="AJ12" s="271"/>
      <c r="AK12" s="271"/>
      <c r="AL12" s="135"/>
      <c r="AM12" s="135"/>
    </row>
    <row r="13" spans="1:39" ht="15.75" customHeight="1" x14ac:dyDescent="0.25">
      <c r="A13" s="377" t="s">
        <v>17</v>
      </c>
      <c r="B13" s="236">
        <v>1245.4000000000001</v>
      </c>
      <c r="C13" s="236">
        <v>1276.9000000000001</v>
      </c>
      <c r="D13" s="388">
        <v>1600.2</v>
      </c>
      <c r="E13" s="388">
        <v>1765.8</v>
      </c>
      <c r="F13" s="388">
        <v>1830.6</v>
      </c>
      <c r="G13" s="388">
        <v>1838.5</v>
      </c>
      <c r="H13" s="388">
        <v>1771.6</v>
      </c>
      <c r="I13" s="381">
        <v>1734</v>
      </c>
      <c r="J13" s="133"/>
      <c r="K13" s="133"/>
      <c r="L13" s="133"/>
      <c r="M13" s="132"/>
      <c r="N13" s="382"/>
      <c r="O13" s="236"/>
      <c r="P13" s="236"/>
      <c r="Q13" s="225"/>
      <c r="R13" s="225"/>
      <c r="S13" s="236"/>
      <c r="T13" s="236"/>
      <c r="U13" s="228">
        <f t="shared" ref="U13:Y13" si="5">U12*U11*12/1000000</f>
        <v>8.9154</v>
      </c>
      <c r="V13" s="228">
        <f t="shared" si="5"/>
        <v>32.513447999999997</v>
      </c>
      <c r="W13" s="228">
        <f t="shared" si="5"/>
        <v>178.77456000000001</v>
      </c>
      <c r="X13" s="228">
        <f t="shared" si="5"/>
        <v>288.75110039999998</v>
      </c>
      <c r="Y13" s="228">
        <f t="shared" si="5"/>
        <v>471.93507143999994</v>
      </c>
      <c r="Z13" s="259"/>
      <c r="AA13" s="357"/>
      <c r="AB13" s="357"/>
      <c r="AC13" s="357"/>
      <c r="AD13" s="357"/>
      <c r="AE13" s="360"/>
      <c r="AF13" s="360"/>
      <c r="AG13" s="360"/>
      <c r="AH13" s="360"/>
      <c r="AI13" s="133"/>
      <c r="AJ13" s="271"/>
      <c r="AK13" s="271"/>
      <c r="AL13" s="135"/>
      <c r="AM13" s="135"/>
    </row>
    <row r="14" spans="1:39" ht="15.75" customHeight="1" x14ac:dyDescent="0.25">
      <c r="A14" s="377" t="s">
        <v>154</v>
      </c>
      <c r="B14" s="403">
        <v>705.5</v>
      </c>
      <c r="C14" s="405">
        <f>(B14+D14)/2</f>
        <v>770.95</v>
      </c>
      <c r="D14" s="379">
        <v>836.4</v>
      </c>
      <c r="E14" s="379">
        <v>982</v>
      </c>
      <c r="F14" s="379">
        <v>1040.9000000000001</v>
      </c>
      <c r="G14" s="379">
        <v>1086.3</v>
      </c>
      <c r="H14" s="381">
        <v>1090</v>
      </c>
      <c r="I14" s="381">
        <v>1080</v>
      </c>
      <c r="J14" s="133"/>
      <c r="K14" s="133"/>
      <c r="L14" s="133"/>
      <c r="M14" s="132"/>
      <c r="N14" s="382"/>
      <c r="O14" s="236"/>
      <c r="P14" s="236"/>
      <c r="Q14" s="225"/>
      <c r="R14" s="225"/>
      <c r="S14" s="236"/>
      <c r="T14" s="236"/>
      <c r="U14" s="378"/>
      <c r="V14" s="383"/>
      <c r="W14" s="384"/>
      <c r="X14" s="384"/>
      <c r="Y14" s="384"/>
      <c r="Z14" s="407"/>
      <c r="AA14" s="360"/>
      <c r="AB14" s="409"/>
      <c r="AC14" s="269"/>
      <c r="AD14" s="269"/>
      <c r="AE14" s="626" t="s">
        <v>8</v>
      </c>
      <c r="AF14" s="623"/>
      <c r="AG14" s="623"/>
      <c r="AH14" s="623"/>
      <c r="AI14" s="623"/>
      <c r="AJ14" s="623"/>
      <c r="AK14" s="133"/>
      <c r="AL14" s="135"/>
      <c r="AM14" s="135"/>
    </row>
    <row r="15" spans="1:39" ht="15.75" customHeight="1" x14ac:dyDescent="0.25">
      <c r="A15" s="377" t="s">
        <v>20</v>
      </c>
      <c r="B15" s="378">
        <v>459.7</v>
      </c>
      <c r="C15" s="378">
        <v>472.3</v>
      </c>
      <c r="D15" s="379">
        <v>512.1</v>
      </c>
      <c r="E15" s="379">
        <v>613.5</v>
      </c>
      <c r="F15" s="379">
        <v>639.70000000000005</v>
      </c>
      <c r="G15" s="379">
        <v>652.70000000000005</v>
      </c>
      <c r="H15" s="381">
        <v>631.5</v>
      </c>
      <c r="I15" s="381">
        <v>600.5</v>
      </c>
      <c r="J15" s="133"/>
      <c r="K15" s="133"/>
      <c r="L15" s="133"/>
      <c r="M15" s="132"/>
      <c r="N15" s="382"/>
      <c r="O15" s="236"/>
      <c r="P15" s="236"/>
      <c r="Q15" s="225"/>
      <c r="R15" s="225"/>
      <c r="S15" s="236"/>
      <c r="T15" s="236"/>
      <c r="U15" s="378"/>
      <c r="V15" s="383"/>
      <c r="W15" s="384"/>
      <c r="X15" s="384"/>
      <c r="Y15" s="384"/>
      <c r="Z15" s="407"/>
      <c r="AA15" s="360"/>
      <c r="AB15" s="360"/>
      <c r="AC15" s="360"/>
      <c r="AD15" s="360"/>
      <c r="AE15" s="623"/>
      <c r="AF15" s="623"/>
      <c r="AG15" s="623"/>
      <c r="AH15" s="623"/>
      <c r="AI15" s="623"/>
      <c r="AJ15" s="623"/>
      <c r="AK15" s="127"/>
      <c r="AL15" s="135"/>
      <c r="AM15" s="135"/>
    </row>
    <row r="16" spans="1:39" ht="15.75" customHeight="1" x14ac:dyDescent="0.25">
      <c r="A16" s="377" t="s">
        <v>599</v>
      </c>
      <c r="B16" s="378">
        <v>140.69999999999999</v>
      </c>
      <c r="C16" s="378">
        <v>165.3</v>
      </c>
      <c r="D16" s="379">
        <v>269.89999999999998</v>
      </c>
      <c r="E16" s="379">
        <v>310.60000000000002</v>
      </c>
      <c r="F16" s="379">
        <v>326.39999999999998</v>
      </c>
      <c r="G16" s="413">
        <v>331.7</v>
      </c>
      <c r="H16" s="381">
        <v>332.7</v>
      </c>
      <c r="I16" s="381">
        <v>326.39999999999998</v>
      </c>
      <c r="J16" s="133"/>
      <c r="K16" s="133"/>
      <c r="L16" s="133"/>
      <c r="M16" s="132"/>
      <c r="N16" s="382"/>
      <c r="O16" s="236"/>
      <c r="P16" s="236"/>
      <c r="Q16" s="225"/>
      <c r="R16" s="225"/>
      <c r="S16" s="236"/>
      <c r="T16" s="236"/>
      <c r="U16" s="378"/>
      <c r="V16" s="383"/>
      <c r="W16" s="384"/>
      <c r="X16" s="384"/>
      <c r="Y16" s="384"/>
      <c r="Z16" s="414"/>
      <c r="AA16" s="414"/>
      <c r="AB16" s="357"/>
      <c r="AC16" s="357"/>
      <c r="AD16" s="357"/>
      <c r="AE16" s="623"/>
      <c r="AF16" s="623"/>
      <c r="AG16" s="623"/>
      <c r="AH16" s="623"/>
      <c r="AI16" s="623"/>
      <c r="AJ16" s="623"/>
      <c r="AK16" s="133"/>
      <c r="AL16" s="135"/>
      <c r="AM16" s="135"/>
    </row>
    <row r="17" spans="1:39" ht="15.75" customHeight="1" x14ac:dyDescent="0.25">
      <c r="A17" s="377" t="s">
        <v>602</v>
      </c>
      <c r="B17" s="417">
        <f t="shared" ref="B17:I17" si="6">SUM(B11:B16)</f>
        <v>4982.5</v>
      </c>
      <c r="C17" s="417">
        <f t="shared" si="6"/>
        <v>5536.95</v>
      </c>
      <c r="D17" s="417">
        <f t="shared" si="6"/>
        <v>6576.2999999999993</v>
      </c>
      <c r="E17" s="417">
        <f t="shared" si="6"/>
        <v>7679.5</v>
      </c>
      <c r="F17" s="417">
        <f t="shared" si="6"/>
        <v>8006.4999999999991</v>
      </c>
      <c r="G17" s="417">
        <f t="shared" si="6"/>
        <v>7854.2</v>
      </c>
      <c r="H17" s="417">
        <f t="shared" si="6"/>
        <v>7696.9999999999991</v>
      </c>
      <c r="I17" s="417">
        <f t="shared" si="6"/>
        <v>7540.9</v>
      </c>
      <c r="J17" s="133"/>
      <c r="K17" s="133"/>
      <c r="L17" s="133"/>
      <c r="M17" s="132"/>
      <c r="N17" s="382" t="s">
        <v>541</v>
      </c>
      <c r="O17" s="236"/>
      <c r="P17" s="236"/>
      <c r="Q17" s="225"/>
      <c r="R17" s="225"/>
      <c r="S17" s="236"/>
      <c r="T17" s="236"/>
      <c r="U17" s="314">
        <v>46575</v>
      </c>
      <c r="V17" s="383">
        <v>77060</v>
      </c>
      <c r="W17" s="378">
        <v>123020</v>
      </c>
      <c r="X17" s="383">
        <v>178083</v>
      </c>
      <c r="Y17" s="421">
        <v>218537</v>
      </c>
      <c r="Z17" s="357"/>
      <c r="AA17" s="357"/>
      <c r="AB17" s="357"/>
      <c r="AC17" s="357"/>
      <c r="AD17" s="357"/>
      <c r="AE17" s="623"/>
      <c r="AF17" s="623"/>
      <c r="AG17" s="623"/>
      <c r="AH17" s="623"/>
      <c r="AI17" s="623"/>
      <c r="AJ17" s="623"/>
      <c r="AK17" s="133"/>
      <c r="AL17" s="135"/>
      <c r="AM17" s="135"/>
    </row>
    <row r="18" spans="1:39" ht="15.75" customHeight="1" x14ac:dyDescent="0.25">
      <c r="A18" s="359"/>
      <c r="B18" s="228"/>
      <c r="C18" s="228"/>
      <c r="D18" s="228"/>
      <c r="E18" s="228"/>
      <c r="F18" s="228"/>
      <c r="G18" s="228"/>
      <c r="H18" s="314"/>
      <c r="I18" s="314"/>
      <c r="J18" s="133"/>
      <c r="K18" s="133"/>
      <c r="L18" s="133"/>
      <c r="M18" s="132"/>
      <c r="N18" s="382"/>
      <c r="O18" s="236"/>
      <c r="P18" s="236"/>
      <c r="Q18" s="225"/>
      <c r="R18" s="225"/>
      <c r="S18" s="236"/>
      <c r="T18" s="236"/>
      <c r="U18" s="378">
        <v>26.62</v>
      </c>
      <c r="V18" s="378">
        <v>49.3</v>
      </c>
      <c r="W18" s="324">
        <v>55.07</v>
      </c>
      <c r="X18" s="389">
        <v>50.19</v>
      </c>
      <c r="Y18" s="397">
        <v>56.14</v>
      </c>
      <c r="Z18" s="357"/>
      <c r="AA18" s="357"/>
      <c r="AB18" s="357"/>
      <c r="AC18" s="357"/>
      <c r="AD18" s="357"/>
      <c r="AE18" s="623"/>
      <c r="AF18" s="623"/>
      <c r="AG18" s="623"/>
      <c r="AH18" s="623"/>
      <c r="AI18" s="623"/>
      <c r="AJ18" s="623"/>
      <c r="AK18" s="133"/>
      <c r="AL18" s="135"/>
      <c r="AM18" s="135"/>
    </row>
    <row r="19" spans="1:39" ht="15.75" customHeight="1" x14ac:dyDescent="0.25">
      <c r="A19" s="423"/>
      <c r="B19" s="366">
        <v>2004</v>
      </c>
      <c r="C19" s="366">
        <v>2006</v>
      </c>
      <c r="D19" s="366">
        <v>2008</v>
      </c>
      <c r="E19" s="366">
        <v>2010</v>
      </c>
      <c r="F19" s="366">
        <v>2011</v>
      </c>
      <c r="G19" s="366">
        <v>2012</v>
      </c>
      <c r="H19" s="368">
        <v>2013</v>
      </c>
      <c r="I19" s="370">
        <v>2014</v>
      </c>
      <c r="J19" s="133"/>
      <c r="K19" s="133"/>
      <c r="L19" s="133"/>
      <c r="M19" s="132"/>
      <c r="N19" s="382"/>
      <c r="O19" s="236"/>
      <c r="P19" s="236"/>
      <c r="Q19" s="225"/>
      <c r="R19" s="225"/>
      <c r="S19" s="236"/>
      <c r="T19" s="236"/>
      <c r="U19" s="228">
        <f t="shared" ref="U19:Y19" si="7">U11+U17</f>
        <v>59575</v>
      </c>
      <c r="V19" s="228">
        <f t="shared" si="7"/>
        <v>127704</v>
      </c>
      <c r="W19" s="228">
        <f t="shared" si="7"/>
        <v>371318</v>
      </c>
      <c r="X19" s="228">
        <f t="shared" si="7"/>
        <v>657513</v>
      </c>
      <c r="Y19" s="228">
        <f t="shared" si="7"/>
        <v>919070</v>
      </c>
      <c r="Z19" s="228">
        <f>Y19/V19</f>
        <v>7.1968771534172777</v>
      </c>
      <c r="AA19" s="357">
        <f>Y19/U19</f>
        <v>15.427108686529584</v>
      </c>
      <c r="AB19" s="429">
        <f>Y19/W19</f>
        <v>2.4751560656903249</v>
      </c>
      <c r="AC19" s="357"/>
      <c r="AD19" s="357"/>
      <c r="AE19" s="623"/>
      <c r="AF19" s="623"/>
      <c r="AG19" s="623"/>
      <c r="AH19" s="623"/>
      <c r="AI19" s="623"/>
      <c r="AJ19" s="623"/>
      <c r="AK19" s="133"/>
      <c r="AL19" s="135"/>
      <c r="AM19" s="135"/>
    </row>
    <row r="20" spans="1:39" ht="15.75" customHeight="1" x14ac:dyDescent="0.25">
      <c r="A20" s="423" t="s">
        <v>609</v>
      </c>
      <c r="B20" s="438">
        <v>5030.7</v>
      </c>
      <c r="C20" s="438">
        <v>5801</v>
      </c>
      <c r="D20" s="438">
        <v>6833.9</v>
      </c>
      <c r="E20" s="438">
        <v>7711.9</v>
      </c>
      <c r="F20" s="438">
        <v>7993.5</v>
      </c>
      <c r="G20" s="438">
        <v>7822.1</v>
      </c>
      <c r="H20" s="438">
        <v>7787.7</v>
      </c>
      <c r="I20" s="440">
        <v>7343.4</v>
      </c>
      <c r="J20" s="133"/>
      <c r="K20" s="133"/>
      <c r="L20" s="133"/>
      <c r="M20" s="132"/>
      <c r="N20" s="382"/>
      <c r="O20" s="236"/>
      <c r="P20" s="236"/>
      <c r="Q20" s="225"/>
      <c r="R20" s="225"/>
      <c r="S20" s="236"/>
      <c r="T20" s="236"/>
      <c r="U20" s="228">
        <f t="shared" ref="U20:Y20" si="8">U17*U18*12/1000000</f>
        <v>14.877917999999999</v>
      </c>
      <c r="V20" s="228">
        <f t="shared" si="8"/>
        <v>45.588695999999999</v>
      </c>
      <c r="W20" s="228">
        <f t="shared" si="8"/>
        <v>81.296536800000013</v>
      </c>
      <c r="X20" s="228">
        <f t="shared" si="8"/>
        <v>107.25582924</v>
      </c>
      <c r="Y20" s="228">
        <f t="shared" si="8"/>
        <v>147.22400615999999</v>
      </c>
      <c r="Z20" s="357"/>
      <c r="AA20" s="357"/>
      <c r="AB20" s="357"/>
      <c r="AC20" s="357"/>
      <c r="AD20" s="357"/>
      <c r="AE20" s="623"/>
      <c r="AF20" s="623"/>
      <c r="AG20" s="623"/>
      <c r="AH20" s="623"/>
      <c r="AI20" s="623"/>
      <c r="AJ20" s="623"/>
      <c r="AK20" s="133"/>
      <c r="AL20" s="135"/>
      <c r="AM20" s="135"/>
    </row>
    <row r="21" spans="1:39" ht="15.75" customHeight="1" x14ac:dyDescent="0.25">
      <c r="A21" s="423" t="s">
        <v>613</v>
      </c>
      <c r="B21" s="318">
        <v>8.343</v>
      </c>
      <c r="C21" s="444">
        <v>51.049032749015801</v>
      </c>
      <c r="D21" s="444">
        <v>119.12913496</v>
      </c>
      <c r="E21" s="444">
        <v>283.12882497999999</v>
      </c>
      <c r="F21" s="444">
        <v>465.51035006000001</v>
      </c>
      <c r="G21" s="444">
        <v>738.89429144999997</v>
      </c>
      <c r="H21" s="444">
        <v>1006.27252977</v>
      </c>
      <c r="I21" s="440">
        <v>1578.6</v>
      </c>
      <c r="J21" s="445"/>
      <c r="K21" s="133"/>
      <c r="L21" s="133"/>
      <c r="M21" s="132"/>
      <c r="N21" s="446" t="s">
        <v>11</v>
      </c>
      <c r="O21" s="378"/>
      <c r="P21" s="378"/>
      <c r="Q21" s="225"/>
      <c r="R21" s="225">
        <v>35000</v>
      </c>
      <c r="S21" s="384">
        <v>78000</v>
      </c>
      <c r="T21" s="384">
        <v>170000</v>
      </c>
      <c r="U21" s="314">
        <v>314000</v>
      </c>
      <c r="V21" s="383">
        <v>509000</v>
      </c>
      <c r="W21" s="384">
        <v>678000</v>
      </c>
      <c r="X21" s="384">
        <v>815000</v>
      </c>
      <c r="Y21" s="447">
        <v>916</v>
      </c>
      <c r="Z21" s="357"/>
      <c r="AA21" s="357"/>
      <c r="AB21" s="357"/>
      <c r="AC21" s="357"/>
      <c r="AD21" s="357"/>
      <c r="AE21" s="623"/>
      <c r="AF21" s="623"/>
      <c r="AG21" s="623"/>
      <c r="AH21" s="623"/>
      <c r="AI21" s="623"/>
      <c r="AJ21" s="623"/>
      <c r="AK21" s="133"/>
      <c r="AL21" s="135"/>
      <c r="AM21" s="135"/>
    </row>
    <row r="22" spans="1:39" ht="15.75" customHeight="1" x14ac:dyDescent="0.25">
      <c r="A22" s="449" t="s">
        <v>616</v>
      </c>
      <c r="B22" s="314">
        <f t="shared" ref="B22:I22" si="9">SUM(B20:B21)</f>
        <v>5039.0429999999997</v>
      </c>
      <c r="C22" s="314">
        <f t="shared" si="9"/>
        <v>5852.0490327490161</v>
      </c>
      <c r="D22" s="314">
        <f t="shared" si="9"/>
        <v>6953.0291349599993</v>
      </c>
      <c r="E22" s="314">
        <f t="shared" si="9"/>
        <v>7995.0288249799996</v>
      </c>
      <c r="F22" s="314">
        <f t="shared" si="9"/>
        <v>8459.0103500599998</v>
      </c>
      <c r="G22" s="314">
        <f t="shared" si="9"/>
        <v>8560.9942914500007</v>
      </c>
      <c r="H22" s="314">
        <f t="shared" si="9"/>
        <v>8793.9725297700006</v>
      </c>
      <c r="I22" s="314">
        <f t="shared" si="9"/>
        <v>8922</v>
      </c>
      <c r="J22" s="453"/>
      <c r="K22" s="133"/>
      <c r="L22" s="133"/>
      <c r="M22" s="132"/>
      <c r="N22" s="382"/>
      <c r="O22" s="236"/>
      <c r="P22" s="236"/>
      <c r="Q22" s="225"/>
      <c r="R22" s="130">
        <v>47.36</v>
      </c>
      <c r="S22" s="378">
        <v>50.42</v>
      </c>
      <c r="T22" s="378">
        <v>53.79</v>
      </c>
      <c r="U22" s="378">
        <v>57.15</v>
      </c>
      <c r="V22" s="378">
        <v>59.41</v>
      </c>
      <c r="W22" s="324">
        <v>60.66</v>
      </c>
      <c r="X22" s="389">
        <v>57.38</v>
      </c>
      <c r="Y22" s="397">
        <v>63.47</v>
      </c>
      <c r="Z22" s="357"/>
      <c r="AA22" s="357"/>
      <c r="AB22" s="357"/>
      <c r="AC22" s="357"/>
      <c r="AD22" s="357"/>
      <c r="AE22" s="623"/>
      <c r="AF22" s="623"/>
      <c r="AG22" s="623"/>
      <c r="AH22" s="623"/>
      <c r="AI22" s="623"/>
      <c r="AJ22" s="623"/>
      <c r="AK22" s="133"/>
      <c r="AL22" s="135"/>
      <c r="AM22" s="135"/>
    </row>
    <row r="23" spans="1:39" ht="15.75" customHeight="1" x14ac:dyDescent="0.25">
      <c r="A23" s="359"/>
      <c r="B23" s="314"/>
      <c r="C23" s="314"/>
      <c r="D23" s="314"/>
      <c r="E23" s="314"/>
      <c r="F23" s="314"/>
      <c r="G23" s="314"/>
      <c r="H23" s="456">
        <f t="shared" ref="H23:I23" si="10">H21/H22</f>
        <v>0.11442752707760827</v>
      </c>
      <c r="I23" s="456">
        <f t="shared" si="10"/>
        <v>0.17693342299932749</v>
      </c>
      <c r="J23" s="133"/>
      <c r="K23" s="133"/>
      <c r="L23" s="133"/>
      <c r="M23" s="132"/>
      <c r="N23" s="382"/>
      <c r="O23" s="236"/>
      <c r="P23" s="236"/>
      <c r="Q23" s="225"/>
      <c r="R23" s="225">
        <f t="shared" ref="R23:Y23" si="11">R21*R22*12/1000000</f>
        <v>19.891200000000001</v>
      </c>
      <c r="S23" s="225">
        <f t="shared" si="11"/>
        <v>47.19312</v>
      </c>
      <c r="T23" s="225">
        <f t="shared" si="11"/>
        <v>109.7316</v>
      </c>
      <c r="U23" s="236">
        <f t="shared" si="11"/>
        <v>215.34119999999999</v>
      </c>
      <c r="V23" s="236">
        <f t="shared" si="11"/>
        <v>362.87628000000001</v>
      </c>
      <c r="W23" s="236">
        <f t="shared" si="11"/>
        <v>493.52976000000001</v>
      </c>
      <c r="X23" s="236">
        <f t="shared" si="11"/>
        <v>561.17639999999994</v>
      </c>
      <c r="Y23" s="236">
        <f t="shared" si="11"/>
        <v>0.69766223999999999</v>
      </c>
      <c r="Z23" s="357"/>
      <c r="AA23" s="357"/>
      <c r="AB23" s="357"/>
      <c r="AC23" s="357"/>
      <c r="AD23" s="357"/>
      <c r="AE23" s="623"/>
      <c r="AF23" s="623"/>
      <c r="AG23" s="623"/>
      <c r="AH23" s="623"/>
      <c r="AI23" s="623"/>
      <c r="AJ23" s="623"/>
      <c r="AK23" s="133"/>
      <c r="AL23" s="135"/>
      <c r="AM23" s="135"/>
    </row>
    <row r="24" spans="1:39" ht="15.75" customHeight="1" x14ac:dyDescent="0.25">
      <c r="A24" s="459" t="s">
        <v>621</v>
      </c>
      <c r="B24" s="384">
        <v>19800</v>
      </c>
      <c r="C24" s="384">
        <v>18400</v>
      </c>
      <c r="D24" s="460">
        <v>18000</v>
      </c>
      <c r="E24" s="460">
        <v>16900</v>
      </c>
      <c r="F24" s="460">
        <v>16400</v>
      </c>
      <c r="G24" s="461">
        <v>15900</v>
      </c>
      <c r="H24" s="462">
        <v>15600</v>
      </c>
      <c r="I24" s="462">
        <v>15000</v>
      </c>
      <c r="J24" s="133"/>
      <c r="K24" s="133"/>
      <c r="L24" s="133"/>
      <c r="M24" s="132"/>
      <c r="N24" s="382"/>
      <c r="O24" s="236"/>
      <c r="P24" s="236"/>
      <c r="Q24" s="225"/>
      <c r="R24" s="225"/>
      <c r="S24" s="236"/>
      <c r="T24" s="236"/>
      <c r="U24" s="378"/>
      <c r="V24" s="383"/>
      <c r="W24" s="384"/>
      <c r="X24" s="384"/>
      <c r="Y24" s="384"/>
      <c r="Z24" s="463"/>
      <c r="AA24" s="463"/>
      <c r="AB24" s="463"/>
      <c r="AC24" s="463"/>
      <c r="AD24" s="463"/>
      <c r="AE24" s="623"/>
      <c r="AF24" s="623"/>
      <c r="AG24" s="623"/>
      <c r="AH24" s="623"/>
      <c r="AI24" s="623"/>
      <c r="AJ24" s="623"/>
      <c r="AK24" s="133"/>
      <c r="AL24" s="135"/>
      <c r="AM24" s="135"/>
    </row>
    <row r="25" spans="1:39" ht="15.75" customHeight="1" x14ac:dyDescent="0.25">
      <c r="A25" s="377" t="s">
        <v>146</v>
      </c>
      <c r="B25" s="384">
        <v>4200</v>
      </c>
      <c r="C25" s="384">
        <v>5000</v>
      </c>
      <c r="D25" s="460">
        <v>6200</v>
      </c>
      <c r="E25" s="460">
        <v>6800</v>
      </c>
      <c r="F25" s="466">
        <v>7200</v>
      </c>
      <c r="G25" s="462">
        <v>7625</v>
      </c>
      <c r="H25" s="467">
        <v>8100</v>
      </c>
      <c r="I25" s="470">
        <v>8900</v>
      </c>
      <c r="J25" s="134"/>
      <c r="K25" s="133"/>
      <c r="L25" s="133"/>
      <c r="M25" s="132"/>
      <c r="N25" s="446" t="s">
        <v>553</v>
      </c>
      <c r="O25" s="378">
        <v>25422</v>
      </c>
      <c r="P25" s="262">
        <v>51561</v>
      </c>
      <c r="Q25" s="225">
        <v>59442</v>
      </c>
      <c r="R25" s="262">
        <v>76758</v>
      </c>
      <c r="S25" s="378">
        <v>82278</v>
      </c>
      <c r="T25" s="262">
        <v>86520</v>
      </c>
      <c r="U25" s="314">
        <v>89967</v>
      </c>
      <c r="V25" s="383">
        <v>95476</v>
      </c>
      <c r="W25" s="383">
        <v>97232</v>
      </c>
      <c r="X25" s="383">
        <v>104861</v>
      </c>
      <c r="Y25" s="421">
        <v>108096</v>
      </c>
      <c r="Z25" s="357"/>
      <c r="AA25" s="357"/>
      <c r="AB25" s="357"/>
      <c r="AC25" s="357"/>
      <c r="AD25" s="357"/>
      <c r="AE25" s="357"/>
      <c r="AF25" s="127"/>
      <c r="AG25" s="133"/>
      <c r="AH25" s="133"/>
      <c r="AI25" s="133"/>
      <c r="AJ25" s="133"/>
      <c r="AK25" s="133"/>
      <c r="AL25" s="135"/>
      <c r="AM25" s="135"/>
    </row>
    <row r="26" spans="1:39" ht="15.75" customHeight="1" x14ac:dyDescent="0.25">
      <c r="A26" s="459" t="s">
        <v>627</v>
      </c>
      <c r="B26" s="384">
        <f t="shared" ref="B26:I26" si="12">SUM(B24:B25)</f>
        <v>24000</v>
      </c>
      <c r="C26" s="384">
        <f t="shared" si="12"/>
        <v>23400</v>
      </c>
      <c r="D26" s="384">
        <f t="shared" si="12"/>
        <v>24200</v>
      </c>
      <c r="E26" s="384">
        <f t="shared" si="12"/>
        <v>23700</v>
      </c>
      <c r="F26" s="384">
        <f t="shared" si="12"/>
        <v>23600</v>
      </c>
      <c r="G26" s="384">
        <f t="shared" si="12"/>
        <v>23525</v>
      </c>
      <c r="H26" s="384">
        <f t="shared" si="12"/>
        <v>23700</v>
      </c>
      <c r="I26" s="384">
        <f t="shared" si="12"/>
        <v>23900</v>
      </c>
      <c r="J26" s="384"/>
      <c r="K26" s="133"/>
      <c r="L26" s="133"/>
      <c r="M26" s="132"/>
      <c r="N26" s="382"/>
      <c r="O26" s="378">
        <v>27.62</v>
      </c>
      <c r="P26" s="228">
        <v>37.011177698906799</v>
      </c>
      <c r="Q26" s="378">
        <v>46</v>
      </c>
      <c r="R26" s="378">
        <v>47.36</v>
      </c>
      <c r="S26" s="378">
        <v>49.88</v>
      </c>
      <c r="T26" s="324">
        <v>51.42</v>
      </c>
      <c r="U26" s="378">
        <v>53.71</v>
      </c>
      <c r="V26" s="378">
        <v>62.38</v>
      </c>
      <c r="W26" s="324">
        <v>66.92</v>
      </c>
      <c r="X26" s="324">
        <v>66.58</v>
      </c>
      <c r="Y26" s="475">
        <v>65.040000000000006</v>
      </c>
      <c r="Z26" s="463"/>
      <c r="AA26" s="463"/>
      <c r="AB26" s="463"/>
      <c r="AC26" s="463"/>
      <c r="AD26" s="463"/>
      <c r="AE26" s="463"/>
      <c r="AF26" s="463"/>
      <c r="AG26" s="129"/>
      <c r="AH26" s="133"/>
      <c r="AI26" s="133"/>
      <c r="AJ26" s="133"/>
      <c r="AK26" s="133"/>
      <c r="AL26" s="135"/>
      <c r="AM26" s="135"/>
    </row>
    <row r="27" spans="1:39" ht="15.75" customHeight="1" x14ac:dyDescent="0.25">
      <c r="A27" s="377" t="s">
        <v>630</v>
      </c>
      <c r="B27" s="477">
        <f t="shared" ref="B27:I27" si="13">B21/B26*100</f>
        <v>3.4762500000000002E-2</v>
      </c>
      <c r="C27" s="477">
        <f t="shared" si="13"/>
        <v>0.21815825961117863</v>
      </c>
      <c r="D27" s="477">
        <f t="shared" si="13"/>
        <v>0.49226915272727273</v>
      </c>
      <c r="E27" s="477">
        <f t="shared" si="13"/>
        <v>1.1946363923206751</v>
      </c>
      <c r="F27" s="477">
        <f t="shared" si="13"/>
        <v>1.9725014833050847</v>
      </c>
      <c r="G27" s="477">
        <f t="shared" si="13"/>
        <v>3.1408896554729013</v>
      </c>
      <c r="H27" s="477">
        <f t="shared" si="13"/>
        <v>4.2458756530379747</v>
      </c>
      <c r="I27" s="477">
        <f t="shared" si="13"/>
        <v>6.605020920502092</v>
      </c>
      <c r="J27" s="477"/>
      <c r="K27" s="133"/>
      <c r="L27" s="133"/>
      <c r="M27" s="132"/>
      <c r="N27" s="382"/>
      <c r="O27" s="236">
        <f t="shared" ref="O27:X27" si="14">O25*O26*12/1000000</f>
        <v>8.4258676799999996</v>
      </c>
      <c r="P27" s="236">
        <f t="shared" si="14"/>
        <v>22.9</v>
      </c>
      <c r="Q27" s="236">
        <f t="shared" si="14"/>
        <v>32.811984000000002</v>
      </c>
      <c r="R27" s="236">
        <f t="shared" si="14"/>
        <v>43.623106560000004</v>
      </c>
      <c r="S27" s="236">
        <f t="shared" si="14"/>
        <v>49.248319680000002</v>
      </c>
      <c r="T27" s="236">
        <f t="shared" si="14"/>
        <v>53.386300800000008</v>
      </c>
      <c r="U27" s="236">
        <f t="shared" si="14"/>
        <v>57.985530840000003</v>
      </c>
      <c r="V27" s="236">
        <f t="shared" si="14"/>
        <v>71.469514560000007</v>
      </c>
      <c r="W27" s="236">
        <f t="shared" si="14"/>
        <v>78.08118528</v>
      </c>
      <c r="X27" s="236">
        <f t="shared" si="14"/>
        <v>83.779744559999997</v>
      </c>
      <c r="Y27" s="303">
        <v>85.2</v>
      </c>
      <c r="Z27" s="357"/>
      <c r="AA27" s="357"/>
      <c r="AB27" s="357"/>
      <c r="AC27" s="357"/>
      <c r="AD27" s="357"/>
      <c r="AE27" s="357"/>
      <c r="AF27" s="357"/>
      <c r="AG27" s="127"/>
      <c r="AH27" s="133"/>
      <c r="AI27" s="133"/>
      <c r="AJ27" s="133"/>
      <c r="AK27" s="133"/>
      <c r="AL27" s="135"/>
      <c r="AM27" s="135"/>
    </row>
    <row r="28" spans="1:39" ht="15.75" customHeight="1" x14ac:dyDescent="0.25">
      <c r="A28" s="359"/>
      <c r="B28" s="477"/>
      <c r="C28" s="477"/>
      <c r="D28" s="477"/>
      <c r="E28" s="477"/>
      <c r="F28" s="477"/>
      <c r="G28" s="477"/>
      <c r="H28" s="314"/>
      <c r="I28" s="236"/>
      <c r="J28" s="133"/>
      <c r="K28" s="133"/>
      <c r="L28" s="133"/>
      <c r="M28" s="132"/>
      <c r="N28" s="382"/>
      <c r="O28" s="236"/>
      <c r="P28" s="236"/>
      <c r="Q28" s="225"/>
      <c r="R28" s="225"/>
      <c r="S28" s="236"/>
      <c r="T28" s="236"/>
      <c r="U28" s="378"/>
      <c r="V28" s="383"/>
      <c r="W28" s="384"/>
      <c r="X28" s="384"/>
      <c r="Y28" s="384"/>
      <c r="Z28" s="357"/>
      <c r="AA28" s="357"/>
      <c r="AB28" s="357"/>
      <c r="AC28" s="357"/>
      <c r="AD28" s="357"/>
      <c r="AE28" s="357"/>
      <c r="AF28" s="357"/>
      <c r="AG28" s="127"/>
      <c r="AH28" s="133"/>
      <c r="AI28" s="133"/>
      <c r="AJ28" s="133"/>
      <c r="AK28" s="133"/>
      <c r="AL28" s="135"/>
      <c r="AM28" s="135"/>
    </row>
    <row r="29" spans="1:39" ht="15.75" customHeight="1" x14ac:dyDescent="0.25">
      <c r="A29" s="459" t="s">
        <v>632</v>
      </c>
      <c r="B29" s="236">
        <f t="shared" ref="B29:I29" si="15">SUM(B22+B26)</f>
        <v>29039.042999999998</v>
      </c>
      <c r="C29" s="236">
        <f t="shared" si="15"/>
        <v>29252.049032749015</v>
      </c>
      <c r="D29" s="236">
        <f t="shared" si="15"/>
        <v>31153.029134960001</v>
      </c>
      <c r="E29" s="236">
        <f t="shared" si="15"/>
        <v>31695.02882498</v>
      </c>
      <c r="F29" s="236">
        <f t="shared" si="15"/>
        <v>32059.010350060002</v>
      </c>
      <c r="G29" s="236">
        <f t="shared" si="15"/>
        <v>32085.994291449999</v>
      </c>
      <c r="H29" s="236">
        <f t="shared" si="15"/>
        <v>32493.972529769999</v>
      </c>
      <c r="I29" s="236">
        <f t="shared" si="15"/>
        <v>32822</v>
      </c>
      <c r="J29" s="236"/>
      <c r="K29" s="133"/>
      <c r="L29" s="133"/>
      <c r="M29" s="132"/>
      <c r="N29" s="446" t="s">
        <v>555</v>
      </c>
      <c r="O29" s="262">
        <v>25000</v>
      </c>
      <c r="P29" s="262">
        <v>42089</v>
      </c>
      <c r="Q29" s="262">
        <v>51277</v>
      </c>
      <c r="R29" s="262">
        <v>62244</v>
      </c>
      <c r="S29" s="262">
        <v>70463</v>
      </c>
      <c r="T29" s="262">
        <v>77831</v>
      </c>
      <c r="U29" s="262">
        <v>85537</v>
      </c>
      <c r="V29" s="262">
        <v>93960</v>
      </c>
      <c r="W29" s="324">
        <v>97262</v>
      </c>
      <c r="X29" s="324">
        <v>101147</v>
      </c>
      <c r="Y29" s="475">
        <v>103716</v>
      </c>
      <c r="Z29" s="463"/>
      <c r="AA29" s="463"/>
      <c r="AB29" s="463"/>
      <c r="AC29" s="463"/>
      <c r="AD29" s="463"/>
      <c r="AE29" s="463"/>
      <c r="AF29" s="129"/>
      <c r="AG29" s="133"/>
      <c r="AH29" s="133"/>
      <c r="AI29" s="133"/>
      <c r="AJ29" s="133"/>
      <c r="AK29" s="133"/>
      <c r="AL29" s="135"/>
      <c r="AM29" s="135"/>
    </row>
    <row r="30" spans="1:39" ht="15.75" customHeight="1" x14ac:dyDescent="0.25">
      <c r="A30" s="377" t="s">
        <v>634</v>
      </c>
      <c r="B30" s="236">
        <f t="shared" ref="B30:I30" si="16">B21/B29*100</f>
        <v>2.8730285636479138E-2</v>
      </c>
      <c r="C30" s="236">
        <f t="shared" si="16"/>
        <v>0.17451438253731921</v>
      </c>
      <c r="D30" s="236">
        <f t="shared" si="16"/>
        <v>0.38239984447070352</v>
      </c>
      <c r="E30" s="236">
        <f t="shared" si="16"/>
        <v>0.89329095279716519</v>
      </c>
      <c r="F30" s="236">
        <f t="shared" si="16"/>
        <v>1.4520421715361178</v>
      </c>
      <c r="G30" s="236">
        <f t="shared" si="16"/>
        <v>2.3028561457012233</v>
      </c>
      <c r="H30" s="236">
        <f t="shared" si="16"/>
        <v>3.096797502515531</v>
      </c>
      <c r="I30" s="236">
        <f t="shared" si="16"/>
        <v>4.8095789409542382</v>
      </c>
      <c r="J30" s="133"/>
      <c r="K30" s="133"/>
      <c r="L30" s="133"/>
      <c r="M30" s="132"/>
      <c r="N30" s="487"/>
      <c r="O30" s="487"/>
      <c r="P30" s="487"/>
      <c r="Q30" s="487"/>
      <c r="R30" s="487"/>
      <c r="S30" s="487"/>
      <c r="T30" s="487"/>
      <c r="U30" s="487"/>
      <c r="V30" s="487"/>
      <c r="W30" s="487"/>
      <c r="X30" s="487"/>
      <c r="Y30" s="487"/>
      <c r="Z30" s="357"/>
      <c r="AA30" s="357"/>
      <c r="AB30" s="357"/>
      <c r="AC30" s="357"/>
      <c r="AD30" s="357"/>
      <c r="AE30" s="357"/>
      <c r="AF30" s="357"/>
      <c r="AG30" s="127"/>
      <c r="AH30" s="133"/>
      <c r="AI30" s="133"/>
      <c r="AJ30" s="133"/>
      <c r="AK30" s="133"/>
      <c r="AL30" s="135"/>
      <c r="AM30" s="135"/>
    </row>
    <row r="31" spans="1:39" ht="15.75" customHeight="1" x14ac:dyDescent="0.2">
      <c r="A31" s="488" t="s">
        <v>637</v>
      </c>
      <c r="B31" s="236">
        <f t="shared" ref="B31:I31" si="17">B21/B22*100</f>
        <v>0.16556715233428254</v>
      </c>
      <c r="C31" s="236">
        <f t="shared" si="17"/>
        <v>0.87232749526425923</v>
      </c>
      <c r="D31" s="236">
        <f t="shared" si="17"/>
        <v>1.7133415184615843</v>
      </c>
      <c r="E31" s="236">
        <f t="shared" si="17"/>
        <v>3.5413108717679735</v>
      </c>
      <c r="F31" s="236">
        <f t="shared" si="17"/>
        <v>5.5031301629356459</v>
      </c>
      <c r="G31" s="236">
        <f t="shared" si="17"/>
        <v>8.6309401255873421</v>
      </c>
      <c r="H31" s="236">
        <f t="shared" si="17"/>
        <v>11.442752707760826</v>
      </c>
      <c r="I31" s="236">
        <f t="shared" si="17"/>
        <v>17.693342299932748</v>
      </c>
      <c r="J31" s="133"/>
      <c r="K31" s="133"/>
      <c r="L31" s="133"/>
      <c r="M31" s="133"/>
      <c r="N31" s="360"/>
      <c r="O31" s="378"/>
      <c r="P31" s="228"/>
      <c r="Q31" s="477"/>
      <c r="R31" s="477"/>
      <c r="S31" s="378"/>
      <c r="T31" s="324"/>
      <c r="U31" s="228"/>
      <c r="V31" s="228"/>
      <c r="W31" s="228"/>
      <c r="X31" s="228"/>
      <c r="Y31" s="228"/>
      <c r="Z31" s="127"/>
      <c r="AA31" s="127"/>
      <c r="AB31" s="127"/>
      <c r="AC31" s="127"/>
      <c r="AD31" s="127"/>
      <c r="AE31" s="127"/>
      <c r="AF31" s="127"/>
      <c r="AG31" s="127"/>
      <c r="AH31" s="133"/>
      <c r="AI31" s="133"/>
      <c r="AJ31" s="133"/>
      <c r="AK31" s="133"/>
      <c r="AL31" s="135"/>
      <c r="AM31" s="135"/>
    </row>
    <row r="32" spans="1:39" ht="15.75" customHeight="1" x14ac:dyDescent="0.25">
      <c r="A32" s="134"/>
      <c r="B32" s="491"/>
      <c r="C32" s="487"/>
      <c r="D32" s="491"/>
      <c r="E32" s="491"/>
      <c r="F32" s="491"/>
      <c r="G32" s="491"/>
      <c r="H32" s="491"/>
      <c r="I32" s="491"/>
      <c r="J32" s="487"/>
      <c r="K32" s="487"/>
      <c r="L32" s="487"/>
      <c r="M32" s="133"/>
      <c r="N32" s="360"/>
      <c r="O32" s="228"/>
      <c r="P32" s="228"/>
      <c r="Q32" s="228"/>
      <c r="R32" s="228"/>
      <c r="S32" s="228"/>
      <c r="T32" s="228"/>
      <c r="U32" s="228"/>
      <c r="V32" s="228"/>
      <c r="W32" s="228"/>
      <c r="X32" s="228"/>
      <c r="Y32" s="228"/>
      <c r="Z32" s="127"/>
      <c r="AA32" s="127"/>
      <c r="AB32" s="127"/>
      <c r="AC32" s="127"/>
      <c r="AD32" s="127"/>
      <c r="AE32" s="127"/>
      <c r="AF32" s="127"/>
      <c r="AG32" s="127"/>
      <c r="AH32" s="133"/>
      <c r="AI32" s="133"/>
      <c r="AJ32" s="133"/>
      <c r="AK32" s="133"/>
      <c r="AL32" s="135"/>
      <c r="AM32" s="135"/>
    </row>
    <row r="33" spans="1:39" ht="15.75" customHeight="1" x14ac:dyDescent="0.25">
      <c r="A33" s="133"/>
      <c r="B33" s="133"/>
      <c r="C33" s="133"/>
      <c r="D33" s="133"/>
      <c r="E33" s="133"/>
      <c r="F33" s="133"/>
      <c r="G33" s="133"/>
      <c r="H33" s="133"/>
      <c r="I33" s="133"/>
      <c r="J33" s="357"/>
      <c r="K33" s="357"/>
      <c r="L33" s="357"/>
      <c r="M33" s="357"/>
      <c r="N33" s="357"/>
      <c r="O33" s="357"/>
      <c r="P33" s="357"/>
      <c r="Q33" s="357"/>
      <c r="R33" s="357"/>
      <c r="S33" s="133"/>
      <c r="T33" s="133"/>
      <c r="U33" s="133"/>
      <c r="V33" s="133"/>
      <c r="W33" s="133"/>
      <c r="X33" s="133"/>
      <c r="Y33" s="133"/>
      <c r="Z33" s="133"/>
      <c r="AA33" s="133"/>
      <c r="AB33" s="133"/>
      <c r="AC33" s="133"/>
      <c r="AD33" s="133"/>
      <c r="AE33" s="133"/>
      <c r="AF33" s="133"/>
      <c r="AG33" s="133"/>
      <c r="AH33" s="133"/>
      <c r="AI33" s="133"/>
      <c r="AJ33" s="133"/>
      <c r="AK33" s="133"/>
      <c r="AL33" s="497"/>
      <c r="AM33" s="497"/>
    </row>
    <row r="34" spans="1:39" ht="15.75" customHeight="1" x14ac:dyDescent="0.25">
      <c r="A34" s="502" t="s">
        <v>641</v>
      </c>
      <c r="B34" s="133"/>
      <c r="C34" s="133"/>
      <c r="D34" s="133"/>
      <c r="E34" s="133"/>
      <c r="F34" s="133"/>
      <c r="G34" s="133"/>
      <c r="H34" s="133"/>
      <c r="I34" s="133"/>
      <c r="J34" s="463"/>
      <c r="K34" s="463"/>
      <c r="L34" s="463"/>
      <c r="M34" s="463"/>
      <c r="N34" s="463"/>
      <c r="O34" s="463"/>
      <c r="P34" s="463"/>
      <c r="Q34" s="463"/>
      <c r="R34" s="463"/>
      <c r="S34" s="133"/>
      <c r="T34" s="133"/>
      <c r="U34" s="133"/>
      <c r="V34" s="133"/>
      <c r="W34" s="133"/>
      <c r="X34" s="133"/>
      <c r="Y34" s="133"/>
      <c r="Z34" s="133"/>
      <c r="AA34" s="133"/>
      <c r="AB34" s="133"/>
      <c r="AC34" s="133"/>
      <c r="AD34" s="133"/>
      <c r="AE34" s="133"/>
      <c r="AF34" s="133"/>
      <c r="AG34" s="133"/>
      <c r="AH34" s="133"/>
      <c r="AI34" s="133"/>
      <c r="AJ34" s="133"/>
      <c r="AK34" s="133"/>
      <c r="AL34" s="497"/>
      <c r="AM34" s="497"/>
    </row>
    <row r="35" spans="1:39" ht="15.75" customHeight="1" x14ac:dyDescent="0.25">
      <c r="A35" s="504"/>
      <c r="B35" s="186">
        <v>2004</v>
      </c>
      <c r="C35" s="186">
        <v>2005</v>
      </c>
      <c r="D35" s="186">
        <v>2006</v>
      </c>
      <c r="E35" s="186">
        <v>2007</v>
      </c>
      <c r="F35" s="186">
        <v>2008</v>
      </c>
      <c r="G35" s="186">
        <v>2009</v>
      </c>
      <c r="H35" s="186">
        <v>2010</v>
      </c>
      <c r="I35" s="186">
        <v>2011</v>
      </c>
      <c r="J35" s="186">
        <v>2012</v>
      </c>
      <c r="K35" s="186">
        <v>2013</v>
      </c>
      <c r="L35" s="506">
        <v>2014</v>
      </c>
      <c r="M35" s="504"/>
      <c r="N35" s="357"/>
      <c r="O35" s="357"/>
      <c r="P35" s="357"/>
      <c r="Q35" s="507">
        <v>2004</v>
      </c>
      <c r="R35" s="507">
        <v>2005</v>
      </c>
      <c r="S35" s="507">
        <v>2006</v>
      </c>
      <c r="T35" s="507">
        <v>2007</v>
      </c>
      <c r="U35" s="507">
        <v>2008</v>
      </c>
      <c r="V35" s="508">
        <v>2009</v>
      </c>
      <c r="W35" s="508">
        <v>2010</v>
      </c>
      <c r="X35" s="508">
        <v>2011</v>
      </c>
      <c r="Y35" s="508">
        <v>2012</v>
      </c>
      <c r="Z35" s="508">
        <v>2013</v>
      </c>
      <c r="AA35" s="508">
        <v>2014</v>
      </c>
      <c r="AB35" s="509"/>
      <c r="AC35" s="510"/>
      <c r="AD35" s="510"/>
      <c r="AE35" s="510"/>
      <c r="AF35" s="409" t="s">
        <v>643</v>
      </c>
      <c r="AG35" s="510"/>
      <c r="AH35" s="133"/>
      <c r="AI35" s="133"/>
      <c r="AJ35" s="133"/>
      <c r="AK35" s="133"/>
      <c r="AL35" s="497"/>
      <c r="AM35" s="497"/>
    </row>
    <row r="36" spans="1:39" ht="15.75" customHeight="1" x14ac:dyDescent="0.25">
      <c r="A36" s="343" t="s">
        <v>325</v>
      </c>
      <c r="B36" s="318"/>
      <c r="C36" s="318"/>
      <c r="D36" s="318"/>
      <c r="E36" s="318"/>
      <c r="F36" s="318"/>
      <c r="G36" s="318"/>
      <c r="H36" s="318">
        <v>4.5</v>
      </c>
      <c r="I36" s="318">
        <v>21</v>
      </c>
      <c r="J36" s="318">
        <v>105.644004</v>
      </c>
      <c r="K36" s="318">
        <v>233.7628302</v>
      </c>
      <c r="L36" s="440">
        <v>593.1</v>
      </c>
      <c r="M36" s="361"/>
      <c r="N36" s="127"/>
      <c r="O36" s="127"/>
      <c r="P36" s="127" t="s">
        <v>325</v>
      </c>
      <c r="Q36" s="361"/>
      <c r="R36" s="361"/>
      <c r="S36" s="361"/>
      <c r="T36" s="361"/>
      <c r="U36" s="361"/>
      <c r="V36" s="361"/>
      <c r="W36" s="361">
        <v>8.9154</v>
      </c>
      <c r="X36" s="361">
        <v>32.513447999999997</v>
      </c>
      <c r="Y36" s="361">
        <v>178.77456000000001</v>
      </c>
      <c r="Z36" s="361">
        <v>288.75110039999998</v>
      </c>
      <c r="AA36" s="512">
        <v>593.1</v>
      </c>
      <c r="AB36" s="509"/>
      <c r="AC36" s="127"/>
      <c r="AD36" s="127"/>
      <c r="AE36" s="127"/>
      <c r="AF36" s="513"/>
      <c r="AG36" s="127"/>
      <c r="AH36" s="133"/>
      <c r="AI36" s="133"/>
      <c r="AJ36" s="133"/>
      <c r="AK36" s="133"/>
      <c r="AL36" s="497"/>
      <c r="AM36" s="497"/>
    </row>
    <row r="37" spans="1:39" ht="15.75" customHeight="1" x14ac:dyDescent="0.25">
      <c r="A37" s="343" t="s">
        <v>541</v>
      </c>
      <c r="B37" s="318"/>
      <c r="C37" s="318"/>
      <c r="D37" s="318"/>
      <c r="E37" s="318"/>
      <c r="F37" s="318"/>
      <c r="G37" s="318"/>
      <c r="H37" s="318">
        <v>7.4389589999999997</v>
      </c>
      <c r="I37" s="318">
        <v>30.5</v>
      </c>
      <c r="J37" s="318">
        <v>63.442616399999999</v>
      </c>
      <c r="K37" s="318">
        <v>94.276183020000005</v>
      </c>
      <c r="L37" s="440">
        <v>122.7</v>
      </c>
      <c r="M37" s="517"/>
      <c r="N37" s="127"/>
      <c r="O37" s="127"/>
      <c r="P37" s="127" t="s">
        <v>541</v>
      </c>
      <c r="Q37" s="361"/>
      <c r="R37" s="361"/>
      <c r="S37" s="361"/>
      <c r="T37" s="361"/>
      <c r="U37" s="361"/>
      <c r="V37" s="361"/>
      <c r="W37" s="361">
        <v>14.877917999999999</v>
      </c>
      <c r="X37" s="361">
        <v>45.588695999999999</v>
      </c>
      <c r="Y37" s="361">
        <v>81.296536799999998</v>
      </c>
      <c r="Z37" s="361">
        <v>107.25582924</v>
      </c>
      <c r="AA37" s="518">
        <v>122.7</v>
      </c>
      <c r="AB37" s="509"/>
      <c r="AC37" s="127"/>
      <c r="AD37" s="127"/>
      <c r="AE37" s="127"/>
      <c r="AF37" s="127"/>
      <c r="AG37" s="127"/>
      <c r="AH37" s="133"/>
      <c r="AI37" s="133"/>
      <c r="AJ37" s="133"/>
      <c r="AK37" s="133"/>
      <c r="AL37" s="497"/>
      <c r="AM37" s="497"/>
    </row>
    <row r="38" spans="1:39" ht="15.75" customHeight="1" x14ac:dyDescent="0.25">
      <c r="A38" s="343" t="s">
        <v>11</v>
      </c>
      <c r="B38" s="318"/>
      <c r="C38" s="444"/>
      <c r="D38" s="444"/>
      <c r="E38" s="444">
        <v>9.9456000000000007</v>
      </c>
      <c r="F38" s="444">
        <v>33.542160000000003</v>
      </c>
      <c r="G38" s="444">
        <v>78.462360000000004</v>
      </c>
      <c r="H38" s="444">
        <v>162.53639999999999</v>
      </c>
      <c r="I38" s="444">
        <v>289.10874000000001</v>
      </c>
      <c r="J38" s="444">
        <v>428.20301999999998</v>
      </c>
      <c r="K38" s="444">
        <v>527.35307999999998</v>
      </c>
      <c r="L38" s="440">
        <v>697.7</v>
      </c>
      <c r="M38" s="326"/>
      <c r="N38" s="127"/>
      <c r="O38" s="127"/>
      <c r="P38" s="127" t="s">
        <v>11</v>
      </c>
      <c r="Q38" s="361"/>
      <c r="R38" s="361"/>
      <c r="S38" s="361"/>
      <c r="T38" s="361">
        <v>19.891200000000001</v>
      </c>
      <c r="U38" s="361">
        <v>47.19312</v>
      </c>
      <c r="V38" s="361">
        <v>109.7316</v>
      </c>
      <c r="W38" s="361">
        <v>215.34119999999999</v>
      </c>
      <c r="X38" s="361">
        <v>362.87628000000001</v>
      </c>
      <c r="Y38" s="361">
        <v>493.52976000000001</v>
      </c>
      <c r="Z38" s="361">
        <v>561.17639999999994</v>
      </c>
      <c r="AA38" s="520">
        <v>697.7</v>
      </c>
      <c r="AB38" s="509"/>
      <c r="AC38" s="127"/>
      <c r="AD38" s="127"/>
      <c r="AE38" s="127"/>
      <c r="AF38" s="127"/>
      <c r="AG38" s="127"/>
      <c r="AH38" s="133"/>
      <c r="AI38" s="133"/>
      <c r="AJ38" s="133"/>
      <c r="AK38" s="133"/>
      <c r="AL38" s="497"/>
      <c r="AM38" s="497"/>
    </row>
    <row r="39" spans="1:39" ht="15.75" customHeight="1" x14ac:dyDescent="0.25">
      <c r="A39" s="343" t="s">
        <v>553</v>
      </c>
      <c r="B39" s="324">
        <v>8.4</v>
      </c>
      <c r="C39" s="522">
        <v>22.9</v>
      </c>
      <c r="D39" s="524">
        <v>32.200000000000003</v>
      </c>
      <c r="E39" s="526">
        <v>43.623106560000004</v>
      </c>
      <c r="F39" s="524">
        <v>50</v>
      </c>
      <c r="G39" s="526">
        <v>53.386300800000008</v>
      </c>
      <c r="H39" s="444">
        <v>59</v>
      </c>
      <c r="I39" s="444">
        <v>70.599999999999994</v>
      </c>
      <c r="J39" s="444">
        <v>78.5</v>
      </c>
      <c r="K39" s="524">
        <v>82</v>
      </c>
      <c r="L39" s="440">
        <v>85.2</v>
      </c>
      <c r="M39" s="326"/>
      <c r="N39" s="527"/>
      <c r="O39" s="127"/>
      <c r="P39" s="127" t="s">
        <v>553</v>
      </c>
      <c r="Q39" s="361">
        <v>8.4</v>
      </c>
      <c r="R39" s="361">
        <v>22.9</v>
      </c>
      <c r="S39" s="361">
        <v>32.200000000000003</v>
      </c>
      <c r="T39" s="361">
        <v>43.623106559999997</v>
      </c>
      <c r="U39" s="361">
        <v>50</v>
      </c>
      <c r="V39" s="361">
        <v>53.386300800000001</v>
      </c>
      <c r="W39" s="361">
        <v>59</v>
      </c>
      <c r="X39" s="361">
        <v>70.599999999999994</v>
      </c>
      <c r="Y39" s="361">
        <v>78.5</v>
      </c>
      <c r="Z39" s="361">
        <v>82</v>
      </c>
      <c r="AA39" s="528">
        <v>85.2</v>
      </c>
      <c r="AB39" s="509"/>
      <c r="AC39" s="127"/>
      <c r="AD39" s="127"/>
      <c r="AE39" s="127"/>
      <c r="AF39" s="127"/>
      <c r="AG39" s="127"/>
      <c r="AH39" s="133"/>
      <c r="AI39" s="133"/>
      <c r="AJ39" s="133"/>
      <c r="AK39" s="133"/>
      <c r="AL39" s="497"/>
      <c r="AM39" s="497"/>
    </row>
    <row r="40" spans="1:39" ht="15.75" customHeight="1" x14ac:dyDescent="0.25">
      <c r="A40" s="343" t="s">
        <v>555</v>
      </c>
      <c r="B40" s="529">
        <v>4.1429999999999998</v>
      </c>
      <c r="C40" s="444">
        <v>13.489580749015801</v>
      </c>
      <c r="D40" s="444">
        <v>23.4990327490158</v>
      </c>
      <c r="E40" s="444">
        <v>31.83970704</v>
      </c>
      <c r="F40" s="444">
        <v>38.775421680000001</v>
      </c>
      <c r="G40" s="444">
        <v>45.100586759999999</v>
      </c>
      <c r="H40" s="444">
        <v>52.46031558</v>
      </c>
      <c r="I40" s="444">
        <v>60.101610059999999</v>
      </c>
      <c r="J40" s="444">
        <v>67.054651050000004</v>
      </c>
      <c r="K40" s="444">
        <v>70.630436549999999</v>
      </c>
      <c r="L40" s="440">
        <v>79.900000000000006</v>
      </c>
      <c r="M40" s="127"/>
      <c r="N40" s="527"/>
      <c r="O40" s="127"/>
      <c r="P40" s="127" t="s">
        <v>555</v>
      </c>
      <c r="Q40" s="361">
        <v>8.2859999999999996</v>
      </c>
      <c r="R40" s="361">
        <v>18.6931614980315</v>
      </c>
      <c r="S40" s="361">
        <v>28.304904000000001</v>
      </c>
      <c r="T40" s="361">
        <v>35.37451008</v>
      </c>
      <c r="U40" s="361">
        <v>42.176333280000001</v>
      </c>
      <c r="V40" s="361">
        <v>48.024840240000003</v>
      </c>
      <c r="W40" s="361">
        <v>56.895790920000003</v>
      </c>
      <c r="X40" s="361">
        <v>63.307429200000001</v>
      </c>
      <c r="Y40" s="361">
        <v>70.801872900000006</v>
      </c>
      <c r="Z40" s="361">
        <v>70.459000200000006</v>
      </c>
      <c r="AA40" s="520">
        <v>79.900000000000006</v>
      </c>
      <c r="AB40" s="509"/>
      <c r="AC40" s="127"/>
      <c r="AD40" s="127"/>
      <c r="AE40" s="127"/>
      <c r="AF40" s="127"/>
      <c r="AG40" s="127"/>
      <c r="AH40" s="133"/>
      <c r="AI40" s="133"/>
      <c r="AJ40" s="133"/>
      <c r="AK40" s="133"/>
      <c r="AL40" s="497"/>
      <c r="AM40" s="497"/>
    </row>
    <row r="41" spans="1:39" ht="15.75" customHeight="1" x14ac:dyDescent="0.25">
      <c r="A41" s="343" t="s">
        <v>569</v>
      </c>
      <c r="B41" s="318">
        <v>8.343</v>
      </c>
      <c r="C41" s="444">
        <v>29.1395807490157</v>
      </c>
      <c r="D41" s="444">
        <v>51.049032749015801</v>
      </c>
      <c r="E41" s="444">
        <v>79.696860319999999</v>
      </c>
      <c r="F41" s="444">
        <v>119.12913496</v>
      </c>
      <c r="G41" s="444">
        <v>175.25609716</v>
      </c>
      <c r="H41" s="444">
        <v>283.12882497999999</v>
      </c>
      <c r="I41" s="444">
        <v>465.51035006000001</v>
      </c>
      <c r="J41" s="444">
        <v>738.89429144999997</v>
      </c>
      <c r="K41" s="444">
        <v>1006.27252977</v>
      </c>
      <c r="L41" s="440">
        <v>1578.6</v>
      </c>
      <c r="M41" s="527"/>
      <c r="N41" s="127"/>
      <c r="O41" s="127"/>
      <c r="P41" s="127" t="s">
        <v>569</v>
      </c>
      <c r="Q41" s="361">
        <v>16.686</v>
      </c>
      <c r="R41" s="361">
        <v>41.593161498031499</v>
      </c>
      <c r="S41" s="361">
        <v>60.504904000000003</v>
      </c>
      <c r="T41" s="361">
        <v>98.888816640000002</v>
      </c>
      <c r="U41" s="361">
        <v>139.36945327999999</v>
      </c>
      <c r="V41" s="361">
        <v>211.14274104</v>
      </c>
      <c r="W41" s="361">
        <v>355.03030891999998</v>
      </c>
      <c r="X41" s="361">
        <v>574.88585320000004</v>
      </c>
      <c r="Y41" s="361">
        <v>902.90272970000001</v>
      </c>
      <c r="Z41" s="361">
        <v>1109.64232984</v>
      </c>
      <c r="AA41" s="127">
        <f>SUM(AA36:AA40)</f>
        <v>1578.6000000000001</v>
      </c>
      <c r="AB41" s="509"/>
      <c r="AC41" s="127"/>
      <c r="AD41" s="127"/>
      <c r="AE41" s="127"/>
      <c r="AF41" s="127"/>
      <c r="AG41" s="127"/>
      <c r="AH41" s="133"/>
      <c r="AI41" s="133"/>
      <c r="AJ41" s="133"/>
      <c r="AK41" s="133"/>
      <c r="AL41" s="497"/>
      <c r="AM41" s="497"/>
    </row>
    <row r="42" spans="1:39" ht="15.75" customHeight="1" x14ac:dyDescent="0.25">
      <c r="A42" s="133"/>
      <c r="B42" s="531"/>
      <c r="C42" s="531"/>
      <c r="D42" s="531"/>
      <c r="E42" s="531"/>
      <c r="F42" s="531"/>
      <c r="G42" s="531"/>
      <c r="H42" s="531"/>
      <c r="I42" s="531"/>
      <c r="J42" s="531"/>
      <c r="K42" s="531"/>
      <c r="L42" s="531"/>
      <c r="M42" s="127"/>
      <c r="N42" s="127"/>
      <c r="O42" s="127"/>
      <c r="P42" s="127"/>
      <c r="Q42" s="127"/>
      <c r="R42" s="127"/>
      <c r="S42" s="133"/>
      <c r="T42" s="133"/>
      <c r="U42" s="133"/>
      <c r="V42" s="133"/>
      <c r="W42" s="133"/>
      <c r="X42" s="133"/>
      <c r="Y42" s="133"/>
      <c r="Z42" s="133"/>
      <c r="AA42" s="133"/>
      <c r="AB42" s="509"/>
      <c r="AC42" s="133"/>
      <c r="AD42" s="133"/>
      <c r="AE42" s="133"/>
      <c r="AF42" s="133"/>
      <c r="AG42" s="133"/>
      <c r="AH42" s="133"/>
      <c r="AI42" s="133"/>
      <c r="AJ42" s="133"/>
      <c r="AK42" s="133"/>
      <c r="AL42" s="497"/>
      <c r="AM42" s="497"/>
    </row>
    <row r="43" spans="1:39" ht="15.75" customHeight="1" x14ac:dyDescent="0.25">
      <c r="A43" s="357"/>
      <c r="B43" s="133"/>
      <c r="C43" s="133"/>
      <c r="D43" s="133"/>
      <c r="E43" s="133"/>
      <c r="F43" s="133"/>
      <c r="G43" s="513"/>
      <c r="H43" s="133"/>
      <c r="I43" s="133"/>
      <c r="J43" s="127"/>
      <c r="K43" s="127"/>
      <c r="L43" s="127"/>
      <c r="M43" s="127"/>
      <c r="N43" s="127"/>
      <c r="O43" s="127"/>
      <c r="P43" s="127"/>
      <c r="Q43" s="127"/>
      <c r="R43" s="127"/>
      <c r="S43" s="133"/>
      <c r="T43" s="133"/>
      <c r="U43" s="133"/>
      <c r="V43" s="133"/>
      <c r="W43" s="133"/>
      <c r="X43" s="133"/>
      <c r="Y43" s="133"/>
      <c r="Z43" s="133"/>
      <c r="AA43" s="133"/>
      <c r="AB43" s="509"/>
      <c r="AC43" s="133"/>
      <c r="AD43" s="133"/>
      <c r="AE43" s="133"/>
      <c r="AF43" s="133"/>
      <c r="AG43" s="133"/>
      <c r="AH43" s="133"/>
      <c r="AI43" s="133"/>
      <c r="AJ43" s="133"/>
      <c r="AK43" s="133"/>
      <c r="AL43" s="497"/>
      <c r="AM43" s="497"/>
    </row>
    <row r="44" spans="1:39" ht="15.75" customHeight="1" x14ac:dyDescent="0.25">
      <c r="A44" s="133"/>
      <c r="B44" s="533"/>
      <c r="C44" s="533"/>
      <c r="D44" s="533"/>
      <c r="E44" s="333"/>
      <c r="F44" s="250"/>
      <c r="G44" s="533"/>
      <c r="H44" s="509"/>
      <c r="I44" s="509"/>
      <c r="J44" s="509"/>
      <c r="K44" s="509"/>
      <c r="L44" s="509"/>
      <c r="M44" s="133"/>
      <c r="N44" s="133"/>
      <c r="O44" s="133"/>
      <c r="P44" s="127" t="s">
        <v>325</v>
      </c>
      <c r="Q44" s="133"/>
      <c r="R44" s="133"/>
      <c r="S44" s="133"/>
      <c r="T44" s="133"/>
      <c r="U44" s="133"/>
      <c r="V44" s="133"/>
      <c r="W44" s="133">
        <v>4.5</v>
      </c>
      <c r="X44" s="133">
        <v>21</v>
      </c>
      <c r="Y44" s="127">
        <v>105.644004</v>
      </c>
      <c r="Z44" s="127">
        <v>233.7628302</v>
      </c>
      <c r="AA44" s="534">
        <v>440.93</v>
      </c>
      <c r="AB44" s="509"/>
      <c r="AC44" s="133"/>
      <c r="AD44" s="133"/>
      <c r="AE44" s="133"/>
      <c r="AF44" s="133"/>
      <c r="AG44" s="133"/>
      <c r="AH44" s="133"/>
      <c r="AI44" s="133"/>
      <c r="AJ44" s="133"/>
      <c r="AK44" s="133"/>
      <c r="AL44" s="497"/>
      <c r="AM44" s="497"/>
    </row>
    <row r="45" spans="1:39" ht="15.75" customHeight="1" x14ac:dyDescent="0.25">
      <c r="A45" s="133"/>
      <c r="B45" s="333"/>
      <c r="C45" s="333"/>
      <c r="D45" s="333"/>
      <c r="E45" s="333"/>
      <c r="F45" s="533"/>
      <c r="G45" s="250"/>
      <c r="H45" s="513"/>
      <c r="I45" s="513"/>
      <c r="J45" s="133"/>
      <c r="K45" s="133"/>
      <c r="L45" s="133"/>
      <c r="M45" s="133"/>
      <c r="N45" s="133"/>
      <c r="O45" s="133"/>
      <c r="P45" s="127" t="s">
        <v>541</v>
      </c>
      <c r="Q45" s="133"/>
      <c r="R45" s="133"/>
      <c r="S45" s="133"/>
      <c r="T45" s="133"/>
      <c r="U45" s="133"/>
      <c r="V45" s="133"/>
      <c r="W45" s="127">
        <v>7.4389589999999997</v>
      </c>
      <c r="X45" s="127">
        <v>30.5</v>
      </c>
      <c r="Y45" s="361">
        <v>63.442616399999999</v>
      </c>
      <c r="Z45" s="361">
        <v>94.276183019999991</v>
      </c>
      <c r="AA45" s="534">
        <v>114.98</v>
      </c>
      <c r="AB45" s="509"/>
      <c r="AC45" s="133"/>
      <c r="AD45" s="133"/>
      <c r="AE45" s="133"/>
      <c r="AF45" s="133"/>
      <c r="AG45" s="133"/>
      <c r="AH45" s="133"/>
      <c r="AI45" s="133"/>
      <c r="AJ45" s="133"/>
      <c r="AK45" s="133"/>
      <c r="AL45" s="497"/>
      <c r="AM45" s="497"/>
    </row>
    <row r="46" spans="1:39" ht="15.75" customHeight="1" x14ac:dyDescent="0.25">
      <c r="A46" s="133"/>
      <c r="B46" s="535"/>
      <c r="C46" s="535"/>
      <c r="D46" s="250"/>
      <c r="E46" s="250"/>
      <c r="F46" s="533"/>
      <c r="G46" s="250"/>
      <c r="H46" s="513"/>
      <c r="I46" s="513"/>
      <c r="J46" s="133"/>
      <c r="K46" s="133"/>
      <c r="L46" s="133"/>
      <c r="M46" s="133"/>
      <c r="N46" s="133"/>
      <c r="O46" s="133"/>
      <c r="P46" s="127" t="s">
        <v>11</v>
      </c>
      <c r="Q46" s="133"/>
      <c r="R46" s="133"/>
      <c r="S46" s="133"/>
      <c r="T46" s="361">
        <v>9.9456000000000007</v>
      </c>
      <c r="U46" s="361">
        <v>33.542160000000003</v>
      </c>
      <c r="V46" s="361">
        <v>78.462360000000004</v>
      </c>
      <c r="W46" s="361">
        <v>162.53639999999999</v>
      </c>
      <c r="X46" s="361">
        <v>289.10874000000001</v>
      </c>
      <c r="Y46" s="361">
        <v>428.20302000000004</v>
      </c>
      <c r="Z46" s="361">
        <v>527.35307999999998</v>
      </c>
      <c r="AA46" s="534">
        <v>629.4</v>
      </c>
      <c r="AB46" s="509"/>
      <c r="AC46" s="133"/>
      <c r="AD46" s="133"/>
      <c r="AE46" s="133"/>
      <c r="AF46" s="133"/>
      <c r="AG46" s="133"/>
      <c r="AH46" s="133"/>
      <c r="AI46" s="133"/>
      <c r="AJ46" s="133"/>
      <c r="AK46" s="133"/>
      <c r="AL46" s="497"/>
      <c r="AM46" s="497"/>
    </row>
    <row r="47" spans="1:39" ht="15.75" customHeight="1" x14ac:dyDescent="0.25">
      <c r="A47" s="133"/>
      <c r="B47" s="250"/>
      <c r="C47" s="535"/>
      <c r="D47" s="536"/>
      <c r="E47" s="536"/>
      <c r="F47" s="536"/>
      <c r="G47" s="536"/>
      <c r="H47" s="513"/>
      <c r="I47" s="513"/>
      <c r="J47" s="133"/>
      <c r="K47" s="133"/>
      <c r="L47" s="133"/>
      <c r="M47" s="133"/>
      <c r="N47" s="133"/>
      <c r="O47" s="133"/>
      <c r="P47" s="127" t="s">
        <v>553</v>
      </c>
      <c r="Q47" s="133">
        <v>4.2</v>
      </c>
      <c r="R47" s="361">
        <v>15.649999999999999</v>
      </c>
      <c r="S47" s="361">
        <v>27.55</v>
      </c>
      <c r="T47" s="361">
        <v>37.91155328</v>
      </c>
      <c r="U47" s="361">
        <v>46.811553279999998</v>
      </c>
      <c r="V47" s="361">
        <v>51.6931504</v>
      </c>
      <c r="W47" s="361">
        <v>56.1931504</v>
      </c>
      <c r="X47" s="361">
        <v>64.8</v>
      </c>
      <c r="Y47" s="361">
        <v>74.55</v>
      </c>
      <c r="Z47" s="361">
        <v>80.25</v>
      </c>
      <c r="AA47" s="534">
        <v>83.6</v>
      </c>
      <c r="AB47" s="509"/>
      <c r="AC47" s="133"/>
      <c r="AD47" s="133"/>
      <c r="AE47" s="133"/>
      <c r="AF47" s="133"/>
      <c r="AG47" s="133"/>
      <c r="AH47" s="133"/>
      <c r="AI47" s="133"/>
      <c r="AJ47" s="133"/>
      <c r="AK47" s="133"/>
      <c r="AL47" s="497"/>
      <c r="AM47" s="497"/>
    </row>
    <row r="48" spans="1:39" ht="15.75" customHeight="1" x14ac:dyDescent="0.25">
      <c r="A48" s="133"/>
      <c r="B48" s="250"/>
      <c r="C48" s="250"/>
      <c r="D48" s="250"/>
      <c r="E48" s="250"/>
      <c r="F48" s="250"/>
      <c r="G48" s="250"/>
      <c r="H48" s="133"/>
      <c r="I48" s="133"/>
      <c r="J48" s="133"/>
      <c r="K48" s="133"/>
      <c r="L48" s="133"/>
      <c r="M48" s="133"/>
      <c r="N48" s="133"/>
      <c r="O48" s="133"/>
      <c r="P48" s="127" t="s">
        <v>555</v>
      </c>
      <c r="Q48" s="361">
        <v>4.1429999999999998</v>
      </c>
      <c r="R48" s="361">
        <v>13.489580749015751</v>
      </c>
      <c r="S48" s="361">
        <v>23.49903274901575</v>
      </c>
      <c r="T48" s="361">
        <v>31.83970704</v>
      </c>
      <c r="U48" s="361">
        <v>38.775421680000001</v>
      </c>
      <c r="V48" s="361">
        <v>45.100586759999999</v>
      </c>
      <c r="W48" s="361">
        <v>52.46031558</v>
      </c>
      <c r="X48" s="361">
        <v>60.101610059999999</v>
      </c>
      <c r="Y48" s="361">
        <v>67.054651050000004</v>
      </c>
      <c r="Z48" s="361">
        <v>70.630436550000013</v>
      </c>
      <c r="AA48" s="534">
        <v>75.2</v>
      </c>
      <c r="AB48" s="509"/>
      <c r="AC48" s="133"/>
      <c r="AD48" s="133"/>
      <c r="AE48" s="133"/>
      <c r="AF48" s="133"/>
      <c r="AG48" s="133"/>
      <c r="AH48" s="133"/>
      <c r="AI48" s="133"/>
      <c r="AJ48" s="133"/>
      <c r="AK48" s="133"/>
      <c r="AL48" s="497"/>
      <c r="AM48" s="497"/>
    </row>
    <row r="49" spans="1:39" ht="15.75" customHeight="1" x14ac:dyDescent="0.25">
      <c r="A49" s="133"/>
      <c r="B49" s="133"/>
      <c r="C49" s="133"/>
      <c r="D49" s="133"/>
      <c r="E49" s="538"/>
      <c r="F49" s="538"/>
      <c r="G49" s="538"/>
      <c r="H49" s="538"/>
      <c r="I49" s="538"/>
      <c r="J49" s="510"/>
      <c r="K49" s="510"/>
      <c r="L49" s="510"/>
      <c r="M49" s="510"/>
      <c r="N49" s="510"/>
      <c r="O49" s="510"/>
      <c r="P49" s="127" t="s">
        <v>569</v>
      </c>
      <c r="Q49" s="361">
        <v>8.343</v>
      </c>
      <c r="R49" s="539">
        <v>29.139580749015749</v>
      </c>
      <c r="S49" s="361">
        <v>51.049032749015751</v>
      </c>
      <c r="T49" s="361">
        <v>79.696860319999999</v>
      </c>
      <c r="U49" s="361">
        <v>119.12913495999999</v>
      </c>
      <c r="V49" s="361">
        <v>175.25609716</v>
      </c>
      <c r="W49" s="361">
        <v>283.12882497999999</v>
      </c>
      <c r="X49" s="361">
        <v>465.51035006000001</v>
      </c>
      <c r="Y49" s="361">
        <v>738.89429144999997</v>
      </c>
      <c r="Z49" s="361">
        <v>1006.27252977</v>
      </c>
      <c r="AA49" s="540">
        <f>SUM(AA44:AA48)</f>
        <v>1344.11</v>
      </c>
      <c r="AB49" s="509"/>
      <c r="AC49" s="133"/>
      <c r="AD49" s="133"/>
      <c r="AE49" s="133"/>
      <c r="AF49" s="133"/>
      <c r="AG49" s="133"/>
      <c r="AH49" s="133"/>
      <c r="AI49" s="133"/>
      <c r="AJ49" s="133"/>
      <c r="AK49" s="133"/>
      <c r="AL49" s="497"/>
      <c r="AM49" s="497"/>
    </row>
    <row r="50" spans="1:39" ht="15.75" customHeight="1" x14ac:dyDescent="0.25">
      <c r="A50" s="133"/>
      <c r="B50" s="133"/>
      <c r="C50" s="133"/>
      <c r="D50" s="133"/>
      <c r="E50" s="542"/>
      <c r="F50" s="542"/>
      <c r="G50" s="133"/>
      <c r="H50" s="133"/>
      <c r="I50" s="133"/>
      <c r="J50" s="517"/>
      <c r="K50" s="517"/>
      <c r="L50" s="517"/>
      <c r="M50" s="527"/>
      <c r="N50" s="127"/>
      <c r="O50" s="127"/>
      <c r="P50" s="127"/>
      <c r="Q50" s="127"/>
      <c r="R50" s="127"/>
      <c r="S50" s="133"/>
      <c r="T50" s="133"/>
      <c r="U50" s="133"/>
      <c r="V50" s="133"/>
      <c r="W50" s="133"/>
      <c r="X50" s="133"/>
      <c r="Y50" s="133"/>
      <c r="Z50" s="133"/>
      <c r="AA50" s="133"/>
      <c r="AB50" s="133"/>
      <c r="AC50" s="133"/>
      <c r="AD50" s="133"/>
      <c r="AE50" s="133"/>
      <c r="AF50" s="133"/>
      <c r="AG50" s="133"/>
      <c r="AH50" s="133"/>
      <c r="AI50" s="133"/>
      <c r="AJ50" s="133"/>
      <c r="AK50" s="133"/>
      <c r="AL50" s="497"/>
      <c r="AM50" s="497"/>
    </row>
    <row r="51" spans="1:39" ht="15.75" customHeight="1" x14ac:dyDescent="0.25">
      <c r="A51" s="133" t="s">
        <v>649</v>
      </c>
      <c r="B51" s="133"/>
      <c r="C51" s="133"/>
      <c r="D51" s="133"/>
      <c r="E51" s="543"/>
      <c r="F51" s="545"/>
      <c r="G51" s="545"/>
      <c r="H51" s="545"/>
      <c r="I51" s="545"/>
      <c r="J51" s="509"/>
      <c r="K51" s="527"/>
      <c r="L51" s="527"/>
      <c r="M51" s="127"/>
      <c r="N51" s="127"/>
      <c r="O51" s="127"/>
      <c r="P51" s="127"/>
      <c r="Q51" s="127"/>
      <c r="R51" s="133"/>
      <c r="S51" s="133"/>
      <c r="T51" s="133"/>
      <c r="U51" s="133"/>
      <c r="V51" s="133"/>
      <c r="W51" s="133"/>
      <c r="X51" s="133"/>
      <c r="Y51" s="133"/>
      <c r="Z51" s="133"/>
      <c r="AA51" s="133"/>
      <c r="AB51" s="133"/>
      <c r="AC51" s="133"/>
      <c r="AD51" s="133"/>
      <c r="AE51" s="133"/>
      <c r="AF51" s="133"/>
      <c r="AG51" s="133"/>
      <c r="AH51" s="133"/>
      <c r="AI51" s="133"/>
      <c r="AJ51" s="133"/>
      <c r="AK51" s="133"/>
      <c r="AL51" s="497"/>
      <c r="AM51" s="234"/>
    </row>
    <row r="52" spans="1:39" ht="15.75" customHeight="1" x14ac:dyDescent="0.25">
      <c r="A52" s="547" t="s">
        <v>650</v>
      </c>
      <c r="B52" s="547"/>
      <c r="C52" s="547"/>
      <c r="D52" s="547"/>
      <c r="E52" s="547"/>
      <c r="F52" s="509"/>
      <c r="G52" s="509"/>
      <c r="H52" s="509"/>
      <c r="I52" s="509"/>
      <c r="J52" s="509"/>
      <c r="K52" s="548"/>
      <c r="L52" s="548"/>
      <c r="M52" s="549"/>
      <c r="N52" s="549"/>
      <c r="O52" s="549"/>
      <c r="P52" s="549"/>
      <c r="Q52" s="549"/>
      <c r="R52" s="547"/>
      <c r="S52" s="547"/>
      <c r="T52" s="547"/>
      <c r="U52" s="547"/>
      <c r="V52" s="547"/>
      <c r="W52" s="547"/>
      <c r="X52" s="547"/>
      <c r="Y52" s="547"/>
      <c r="Z52" s="547"/>
      <c r="AA52" s="547"/>
      <c r="AB52" s="547"/>
      <c r="AC52" s="547"/>
      <c r="AD52" s="547"/>
      <c r="AE52" s="547"/>
      <c r="AF52" s="547"/>
      <c r="AG52" s="547"/>
      <c r="AH52" s="547"/>
      <c r="AI52" s="547"/>
      <c r="AJ52" s="547"/>
      <c r="AK52" s="547"/>
      <c r="AL52" s="170"/>
      <c r="AM52" s="234"/>
    </row>
    <row r="53" spans="1:39" ht="15.75" customHeight="1" x14ac:dyDescent="0.25">
      <c r="A53" s="547" t="s">
        <v>653</v>
      </c>
      <c r="B53" s="547"/>
      <c r="C53" s="547"/>
      <c r="D53" s="547"/>
      <c r="E53" s="547"/>
      <c r="F53" s="509"/>
      <c r="G53" s="509"/>
      <c r="H53" s="509"/>
      <c r="I53" s="509"/>
      <c r="J53" s="509"/>
      <c r="K53" s="548"/>
      <c r="L53" s="548"/>
      <c r="M53" s="549"/>
      <c r="N53" s="549"/>
      <c r="O53" s="549"/>
      <c r="P53" s="549"/>
      <c r="Q53" s="549"/>
      <c r="R53" s="547"/>
      <c r="S53" s="547"/>
      <c r="T53" s="547"/>
      <c r="U53" s="547"/>
      <c r="V53" s="547"/>
      <c r="W53" s="547"/>
      <c r="X53" s="547"/>
      <c r="Y53" s="547"/>
      <c r="Z53" s="547"/>
      <c r="AA53" s="547"/>
      <c r="AB53" s="547"/>
      <c r="AC53" s="547"/>
      <c r="AD53" s="547"/>
      <c r="AE53" s="547"/>
      <c r="AF53" s="547"/>
      <c r="AG53" s="547"/>
      <c r="AH53" s="547"/>
      <c r="AI53" s="547"/>
      <c r="AJ53" s="547"/>
      <c r="AK53" s="547"/>
      <c r="AL53" s="170"/>
      <c r="AM53" s="234"/>
    </row>
    <row r="54" spans="1:39" ht="15.75" customHeight="1" x14ac:dyDescent="0.25">
      <c r="A54" s="547" t="s">
        <v>654</v>
      </c>
      <c r="B54" s="547"/>
      <c r="C54" s="547"/>
      <c r="D54" s="547"/>
      <c r="E54" s="547"/>
      <c r="F54" s="509"/>
      <c r="G54" s="509"/>
      <c r="H54" s="509"/>
      <c r="I54" s="509"/>
      <c r="J54" s="509"/>
      <c r="K54" s="548"/>
      <c r="L54" s="548"/>
      <c r="M54" s="549"/>
      <c r="N54" s="549"/>
      <c r="O54" s="549"/>
      <c r="P54" s="549"/>
      <c r="Q54" s="549"/>
      <c r="R54" s="547"/>
      <c r="S54" s="547"/>
      <c r="T54" s="547"/>
      <c r="U54" s="547"/>
      <c r="V54" s="547"/>
      <c r="W54" s="547"/>
      <c r="X54" s="547"/>
      <c r="Y54" s="547"/>
      <c r="Z54" s="547"/>
      <c r="AA54" s="547"/>
      <c r="AB54" s="547"/>
      <c r="AC54" s="547"/>
      <c r="AD54" s="547"/>
      <c r="AE54" s="547"/>
      <c r="AF54" s="547"/>
      <c r="AG54" s="547"/>
      <c r="AH54" s="547"/>
      <c r="AI54" s="547"/>
      <c r="AJ54" s="547"/>
      <c r="AK54" s="547"/>
      <c r="AL54" s="170"/>
      <c r="AM54" s="234"/>
    </row>
    <row r="55" spans="1:39" ht="15.75" customHeight="1" x14ac:dyDescent="0.25">
      <c r="A55" s="547" t="s">
        <v>655</v>
      </c>
      <c r="B55" s="547"/>
      <c r="C55" s="547"/>
      <c r="D55" s="547"/>
      <c r="E55" s="547"/>
      <c r="F55" s="509"/>
      <c r="G55" s="509"/>
      <c r="H55" s="509"/>
      <c r="I55" s="509"/>
      <c r="J55" s="509"/>
      <c r="K55" s="548"/>
      <c r="L55" s="548"/>
      <c r="M55" s="549"/>
      <c r="N55" s="549"/>
      <c r="O55" s="549"/>
      <c r="P55" s="549"/>
      <c r="Q55" s="549"/>
      <c r="R55" s="547"/>
      <c r="S55" s="547"/>
      <c r="T55" s="547"/>
      <c r="U55" s="547"/>
      <c r="V55" s="547"/>
      <c r="W55" s="547"/>
      <c r="X55" s="547"/>
      <c r="Y55" s="547"/>
      <c r="Z55" s="547"/>
      <c r="AA55" s="547"/>
      <c r="AB55" s="547"/>
      <c r="AC55" s="547"/>
      <c r="AD55" s="547"/>
      <c r="AE55" s="547"/>
      <c r="AF55" s="547"/>
      <c r="AG55" s="547"/>
      <c r="AH55" s="547"/>
      <c r="AI55" s="547"/>
      <c r="AJ55" s="547"/>
      <c r="AK55" s="547"/>
      <c r="AL55" s="170"/>
      <c r="AM55" s="234"/>
    </row>
    <row r="56" spans="1:39" ht="15.75" customHeight="1" x14ac:dyDescent="0.25">
      <c r="A56" s="547" t="s">
        <v>657</v>
      </c>
      <c r="B56" s="547"/>
      <c r="C56" s="547"/>
      <c r="D56" s="547"/>
      <c r="E56" s="547"/>
      <c r="F56" s="509"/>
      <c r="G56" s="509"/>
      <c r="H56" s="509"/>
      <c r="I56" s="509"/>
      <c r="J56" s="509"/>
      <c r="K56" s="548"/>
      <c r="L56" s="548"/>
      <c r="M56" s="549"/>
      <c r="N56" s="549"/>
      <c r="O56" s="549"/>
      <c r="P56" s="549"/>
      <c r="Q56" s="549"/>
      <c r="R56" s="547"/>
      <c r="S56" s="547"/>
      <c r="T56" s="547"/>
      <c r="U56" s="547"/>
      <c r="V56" s="547"/>
      <c r="W56" s="547"/>
      <c r="X56" s="547"/>
      <c r="Y56" s="547"/>
      <c r="Z56" s="547"/>
      <c r="AA56" s="547"/>
      <c r="AB56" s="547"/>
      <c r="AC56" s="547"/>
      <c r="AD56" s="547"/>
      <c r="AE56" s="547"/>
      <c r="AF56" s="547"/>
      <c r="AG56" s="547"/>
      <c r="AH56" s="547"/>
      <c r="AI56" s="547"/>
      <c r="AJ56" s="547"/>
      <c r="AK56" s="547"/>
      <c r="AL56" s="170"/>
      <c r="AM56" s="234"/>
    </row>
    <row r="57" spans="1:39" ht="15.75" customHeight="1" x14ac:dyDescent="0.25">
      <c r="A57" s="547" t="s">
        <v>658</v>
      </c>
      <c r="B57" s="547"/>
      <c r="C57" s="547"/>
      <c r="D57" s="547"/>
      <c r="E57" s="547"/>
      <c r="F57" s="509"/>
      <c r="G57" s="509"/>
      <c r="H57" s="509"/>
      <c r="I57" s="509"/>
      <c r="J57" s="509"/>
      <c r="K57" s="548"/>
      <c r="L57" s="548"/>
      <c r="M57" s="549"/>
      <c r="N57" s="549"/>
      <c r="O57" s="549"/>
      <c r="P57" s="549"/>
      <c r="Q57" s="549"/>
      <c r="R57" s="547"/>
      <c r="S57" s="547"/>
      <c r="T57" s="547"/>
      <c r="U57" s="547"/>
      <c r="V57" s="547"/>
      <c r="W57" s="547"/>
      <c r="X57" s="547"/>
      <c r="Y57" s="547"/>
      <c r="Z57" s="547"/>
      <c r="AA57" s="547"/>
      <c r="AB57" s="547"/>
      <c r="AC57" s="547"/>
      <c r="AD57" s="547"/>
      <c r="AE57" s="547"/>
      <c r="AF57" s="547"/>
      <c r="AG57" s="547"/>
      <c r="AH57" s="547"/>
      <c r="AI57" s="547"/>
      <c r="AJ57" s="547"/>
      <c r="AK57" s="547"/>
      <c r="AL57" s="170"/>
      <c r="AM57" s="234"/>
    </row>
  </sheetData>
  <mergeCells count="2">
    <mergeCell ref="A1:F1"/>
    <mergeCell ref="AE14:AJ24"/>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7" customWidth="1"/>
    <col min="2" max="2" width="10.125" customWidth="1"/>
    <col min="3" max="3" width="14" customWidth="1"/>
    <col min="4" max="4" width="18.375" customWidth="1"/>
    <col min="5" max="5" width="10.875" customWidth="1"/>
    <col min="6" max="6" width="11.625" customWidth="1"/>
    <col min="7" max="7" width="19" customWidth="1"/>
    <col min="8" max="8" width="14.125" customWidth="1"/>
    <col min="9" max="9" width="20.375" customWidth="1"/>
    <col min="10" max="10" width="17.875" customWidth="1"/>
    <col min="11" max="25" width="9.375" customWidth="1"/>
  </cols>
  <sheetData>
    <row r="1" spans="1:25" ht="18" customHeight="1" x14ac:dyDescent="0.25">
      <c r="A1" s="60"/>
      <c r="B1" s="638" t="s">
        <v>59</v>
      </c>
      <c r="C1" s="623"/>
      <c r="D1" s="623"/>
      <c r="E1" s="623"/>
      <c r="F1" s="623"/>
      <c r="G1" s="623"/>
      <c r="H1" s="623"/>
      <c r="I1" s="623"/>
      <c r="J1" s="623"/>
      <c r="K1" s="623"/>
      <c r="L1" s="623"/>
      <c r="M1" s="623"/>
      <c r="N1" s="623"/>
      <c r="O1" s="623"/>
      <c r="P1" s="79"/>
      <c r="Q1" s="79"/>
      <c r="R1" s="79"/>
      <c r="S1" s="79"/>
      <c r="T1" s="79"/>
      <c r="U1" s="79"/>
      <c r="V1" s="79"/>
      <c r="W1" s="79"/>
      <c r="X1" s="79"/>
      <c r="Y1" s="79"/>
    </row>
    <row r="2" spans="1:25" ht="15.75" customHeight="1" x14ac:dyDescent="0.25">
      <c r="A2" s="3"/>
      <c r="B2" s="4">
        <v>1984</v>
      </c>
      <c r="C2" s="4">
        <v>1988</v>
      </c>
      <c r="D2" s="4">
        <v>1990</v>
      </c>
      <c r="E2" s="4">
        <v>1992</v>
      </c>
      <c r="F2" s="4">
        <v>1996</v>
      </c>
      <c r="G2" s="4">
        <v>1998</v>
      </c>
      <c r="H2" s="4">
        <v>2000</v>
      </c>
      <c r="I2" s="4">
        <v>2004</v>
      </c>
      <c r="J2" s="4" t="s">
        <v>80</v>
      </c>
      <c r="K2" s="4">
        <v>2010</v>
      </c>
      <c r="L2" s="4">
        <v>2011</v>
      </c>
      <c r="M2" s="4">
        <v>2012</v>
      </c>
      <c r="N2" s="4">
        <v>2013</v>
      </c>
      <c r="O2" s="12">
        <v>2014</v>
      </c>
      <c r="P2" s="12"/>
      <c r="Q2" s="12"/>
      <c r="R2" s="12"/>
      <c r="S2" s="12"/>
      <c r="T2" s="12"/>
      <c r="U2" s="12"/>
      <c r="V2" s="12"/>
      <c r="W2" s="12"/>
      <c r="X2" s="12"/>
      <c r="Y2" s="12"/>
    </row>
    <row r="3" spans="1:25" ht="16.5" customHeight="1" x14ac:dyDescent="0.25">
      <c r="A3" s="5" t="s">
        <v>82</v>
      </c>
      <c r="B3" s="81">
        <v>810.91</v>
      </c>
      <c r="C3" s="81">
        <v>982.30399999999997</v>
      </c>
      <c r="D3" s="81">
        <v>1038.348</v>
      </c>
      <c r="E3" s="81">
        <v>1028.6199999999999</v>
      </c>
      <c r="F3" s="81">
        <v>1059.81</v>
      </c>
      <c r="G3" s="81">
        <v>1109.3499999999999</v>
      </c>
      <c r="H3" s="81">
        <v>1158.8899999999999</v>
      </c>
      <c r="I3" s="81">
        <v>1107.25</v>
      </c>
      <c r="J3" s="81">
        <v>1243.4000000000001</v>
      </c>
      <c r="K3" s="81">
        <v>1258.5999999999999</v>
      </c>
      <c r="L3" s="81">
        <v>1338.8</v>
      </c>
      <c r="M3" s="81">
        <v>1369.3</v>
      </c>
      <c r="N3" s="81">
        <v>1246.9000000000001</v>
      </c>
      <c r="O3" s="84">
        <v>1255.5</v>
      </c>
      <c r="P3" s="24"/>
      <c r="Q3" s="24"/>
      <c r="R3" s="24"/>
      <c r="S3" s="24"/>
      <c r="T3" s="24"/>
      <c r="U3" s="24"/>
      <c r="V3" s="24"/>
      <c r="W3" s="24"/>
      <c r="X3" s="24"/>
      <c r="Y3" s="24"/>
    </row>
    <row r="4" spans="1:25" ht="15.75" customHeight="1" x14ac:dyDescent="0.25">
      <c r="A4" s="118" t="s">
        <v>87</v>
      </c>
      <c r="B4" s="81"/>
      <c r="C4" s="81"/>
      <c r="D4" s="81"/>
      <c r="E4" s="81"/>
      <c r="F4" s="81"/>
      <c r="G4" s="81"/>
      <c r="H4" s="81"/>
      <c r="I4" s="81"/>
      <c r="J4" s="81"/>
      <c r="K4" s="178"/>
      <c r="L4" s="81">
        <v>836.6</v>
      </c>
      <c r="M4" s="81">
        <v>810.8</v>
      </c>
      <c r="N4" s="81">
        <v>776.1</v>
      </c>
      <c r="O4" s="84">
        <v>736.4</v>
      </c>
      <c r="P4" s="24"/>
      <c r="Q4" s="24"/>
      <c r="R4" s="24"/>
      <c r="S4" s="24"/>
      <c r="T4" s="24"/>
      <c r="U4" s="24"/>
      <c r="V4" s="24"/>
      <c r="W4" s="24"/>
      <c r="X4" s="24"/>
      <c r="Y4" s="24"/>
    </row>
    <row r="5" spans="1:25" ht="15.75" customHeight="1" x14ac:dyDescent="0.25">
      <c r="A5" s="5" t="s">
        <v>309</v>
      </c>
      <c r="B5" s="81"/>
      <c r="C5" s="81"/>
      <c r="D5" s="81"/>
      <c r="E5" s="81"/>
      <c r="F5" s="81"/>
      <c r="G5" s="81"/>
      <c r="H5" s="81"/>
      <c r="I5" s="81"/>
      <c r="J5" s="81">
        <v>840.1</v>
      </c>
      <c r="K5" s="81">
        <v>933.6</v>
      </c>
      <c r="L5" s="81" t="s">
        <v>32</v>
      </c>
      <c r="M5" s="81"/>
      <c r="N5" s="81"/>
      <c r="O5" s="108"/>
      <c r="P5" s="24"/>
      <c r="Q5" s="24"/>
      <c r="R5" s="24"/>
      <c r="S5" s="24"/>
      <c r="T5" s="24"/>
      <c r="U5" s="24"/>
      <c r="V5" s="24"/>
      <c r="W5" s="24"/>
      <c r="X5" s="24"/>
      <c r="Y5" s="24"/>
    </row>
    <row r="6" spans="1:25" ht="15.75" customHeight="1" x14ac:dyDescent="0.25">
      <c r="A6" s="118" t="s">
        <v>320</v>
      </c>
      <c r="B6" s="81"/>
      <c r="C6" s="81"/>
      <c r="D6" s="81"/>
      <c r="E6" s="81"/>
      <c r="F6" s="81"/>
      <c r="G6" s="81"/>
      <c r="H6" s="81"/>
      <c r="I6" s="81">
        <v>684</v>
      </c>
      <c r="J6" s="81" t="s">
        <v>300</v>
      </c>
      <c r="K6" s="81"/>
      <c r="L6" s="81"/>
      <c r="M6" s="81"/>
      <c r="N6" s="81"/>
      <c r="O6" s="108"/>
      <c r="P6" s="24"/>
      <c r="Q6" s="626" t="s">
        <v>8</v>
      </c>
      <c r="R6" s="623"/>
      <c r="S6" s="623"/>
      <c r="T6" s="623"/>
      <c r="U6" s="623"/>
      <c r="V6" s="623"/>
      <c r="W6" s="24"/>
      <c r="X6" s="24"/>
      <c r="Y6" s="24"/>
    </row>
    <row r="7" spans="1:25" ht="15.75" customHeight="1" x14ac:dyDescent="0.25">
      <c r="A7" s="5" t="s">
        <v>321</v>
      </c>
      <c r="B7" s="81">
        <v>147.744</v>
      </c>
      <c r="C7" s="81">
        <v>228.768</v>
      </c>
      <c r="D7" s="81">
        <v>168.672</v>
      </c>
      <c r="E7" s="81">
        <v>192.38399999999999</v>
      </c>
      <c r="F7" s="81">
        <v>216.19199999999998</v>
      </c>
      <c r="G7" s="81">
        <v>394.5</v>
      </c>
      <c r="H7" s="81">
        <v>497</v>
      </c>
      <c r="I7" s="81"/>
      <c r="J7" s="81"/>
      <c r="K7" s="81"/>
      <c r="L7" s="81"/>
      <c r="M7" s="81"/>
      <c r="N7" s="81"/>
      <c r="O7" s="108"/>
      <c r="P7" s="24"/>
      <c r="Q7" s="623"/>
      <c r="R7" s="623"/>
      <c r="S7" s="623"/>
      <c r="T7" s="623"/>
      <c r="U7" s="623"/>
      <c r="V7" s="623"/>
      <c r="W7" s="24"/>
      <c r="X7" s="24"/>
      <c r="Y7" s="24"/>
    </row>
    <row r="8" spans="1:25" ht="15.75" customHeight="1" x14ac:dyDescent="0.25">
      <c r="A8" s="5" t="s">
        <v>327</v>
      </c>
      <c r="B8" s="81">
        <v>23.8</v>
      </c>
      <c r="C8" s="81">
        <v>51.4</v>
      </c>
      <c r="D8" s="81">
        <v>55.8</v>
      </c>
      <c r="E8" s="81">
        <v>61.3</v>
      </c>
      <c r="F8" s="81">
        <v>64.2</v>
      </c>
      <c r="G8" s="81" t="s">
        <v>330</v>
      </c>
      <c r="H8" s="81"/>
      <c r="I8" s="81"/>
      <c r="J8" s="81"/>
      <c r="K8" s="81"/>
      <c r="L8" s="81"/>
      <c r="M8" s="81"/>
      <c r="N8" s="81"/>
      <c r="O8" s="108"/>
      <c r="P8" s="24"/>
      <c r="Q8" s="623"/>
      <c r="R8" s="623"/>
      <c r="S8" s="623"/>
      <c r="T8" s="623"/>
      <c r="U8" s="623"/>
      <c r="V8" s="623"/>
      <c r="W8" s="24"/>
      <c r="X8" s="24"/>
      <c r="Y8" s="24"/>
    </row>
    <row r="9" spans="1:25" ht="15.75" customHeight="1" x14ac:dyDescent="0.25">
      <c r="A9" s="5" t="s">
        <v>333</v>
      </c>
      <c r="B9" s="81">
        <v>14.9</v>
      </c>
      <c r="C9" s="81">
        <v>17.600000000000001</v>
      </c>
      <c r="D9" s="81">
        <v>19.7</v>
      </c>
      <c r="E9" s="81">
        <v>15.1</v>
      </c>
      <c r="F9" s="81">
        <v>19.8</v>
      </c>
      <c r="G9" s="81" t="s">
        <v>336</v>
      </c>
      <c r="H9" s="81"/>
      <c r="I9" s="81"/>
      <c r="J9" s="81"/>
      <c r="K9" s="81"/>
      <c r="L9" s="81"/>
      <c r="M9" s="81"/>
      <c r="N9" s="81"/>
      <c r="O9" s="108"/>
      <c r="P9" s="24"/>
      <c r="Q9" s="623"/>
      <c r="R9" s="623"/>
      <c r="S9" s="623"/>
      <c r="T9" s="623"/>
      <c r="U9" s="623"/>
      <c r="V9" s="623"/>
      <c r="W9" s="24"/>
      <c r="X9" s="24"/>
      <c r="Y9" s="24"/>
    </row>
    <row r="10" spans="1:25" ht="15.75" customHeight="1" x14ac:dyDescent="0.25">
      <c r="A10" s="118" t="s">
        <v>337</v>
      </c>
      <c r="B10" s="81">
        <v>15.7</v>
      </c>
      <c r="C10" s="81">
        <v>17</v>
      </c>
      <c r="D10" s="81">
        <v>18.399999999999999</v>
      </c>
      <c r="E10" s="81" t="s">
        <v>339</v>
      </c>
      <c r="F10" s="81"/>
      <c r="G10" s="81"/>
      <c r="H10" s="81"/>
      <c r="I10" s="81"/>
      <c r="J10" s="81"/>
      <c r="K10" s="81"/>
      <c r="L10" s="81"/>
      <c r="M10" s="81"/>
      <c r="N10" s="81"/>
      <c r="O10" s="108"/>
      <c r="P10" s="24"/>
      <c r="Q10" s="623"/>
      <c r="R10" s="623"/>
      <c r="S10" s="623"/>
      <c r="T10" s="623"/>
      <c r="U10" s="623"/>
      <c r="V10" s="623"/>
      <c r="W10" s="24"/>
      <c r="X10" s="24"/>
      <c r="Y10" s="24"/>
    </row>
    <row r="11" spans="1:25" ht="15.75" customHeight="1" x14ac:dyDescent="0.25">
      <c r="A11" s="5" t="s">
        <v>340</v>
      </c>
      <c r="B11" s="81">
        <v>16.3</v>
      </c>
      <c r="C11" s="81">
        <v>19.2</v>
      </c>
      <c r="D11" s="81" t="s">
        <v>342</v>
      </c>
      <c r="E11" s="81"/>
      <c r="F11" s="81"/>
      <c r="G11" s="81"/>
      <c r="H11" s="81"/>
      <c r="I11" s="81"/>
      <c r="J11" s="81"/>
      <c r="K11" s="81"/>
      <c r="L11" s="81"/>
      <c r="M11" s="81"/>
      <c r="N11" s="81"/>
      <c r="O11" s="108"/>
      <c r="P11" s="24"/>
      <c r="Q11" s="623"/>
      <c r="R11" s="623"/>
      <c r="S11" s="623"/>
      <c r="T11" s="623"/>
      <c r="U11" s="623"/>
      <c r="V11" s="623"/>
      <c r="W11" s="24"/>
      <c r="X11" s="24"/>
      <c r="Y11" s="24"/>
    </row>
    <row r="12" spans="1:25" ht="15.75" customHeight="1" x14ac:dyDescent="0.25">
      <c r="A12" s="5" t="s">
        <v>344</v>
      </c>
      <c r="B12" s="81">
        <v>4.4000000000000004</v>
      </c>
      <c r="C12" s="81">
        <v>5.0999999999999996</v>
      </c>
      <c r="D12" s="81" t="s">
        <v>342</v>
      </c>
      <c r="E12" s="81"/>
      <c r="F12" s="81"/>
      <c r="G12" s="81"/>
      <c r="H12" s="81"/>
      <c r="I12" s="81"/>
      <c r="J12" s="81"/>
      <c r="K12" s="81"/>
      <c r="L12" s="81"/>
      <c r="M12" s="81"/>
      <c r="N12" s="81"/>
      <c r="O12" s="108"/>
      <c r="P12" s="24"/>
      <c r="Q12" s="623"/>
      <c r="R12" s="623"/>
      <c r="S12" s="623"/>
      <c r="T12" s="623"/>
      <c r="U12" s="623"/>
      <c r="V12" s="623"/>
      <c r="W12" s="24"/>
      <c r="X12" s="24"/>
      <c r="Y12" s="24"/>
    </row>
    <row r="13" spans="1:25" ht="15.75" customHeight="1" x14ac:dyDescent="0.25">
      <c r="A13" s="5" t="s">
        <v>345</v>
      </c>
      <c r="B13" s="81">
        <v>5.6</v>
      </c>
      <c r="C13" s="81">
        <v>6.1</v>
      </c>
      <c r="D13" s="81" t="s">
        <v>342</v>
      </c>
      <c r="E13" s="81"/>
      <c r="F13" s="81"/>
      <c r="G13" s="81"/>
      <c r="H13" s="81"/>
      <c r="I13" s="81"/>
      <c r="J13" s="81"/>
      <c r="K13" s="81"/>
      <c r="L13" s="81"/>
      <c r="M13" s="81"/>
      <c r="N13" s="81"/>
      <c r="O13" s="108"/>
      <c r="P13" s="24"/>
      <c r="Q13" s="623"/>
      <c r="R13" s="623"/>
      <c r="S13" s="623"/>
      <c r="T13" s="623"/>
      <c r="U13" s="623"/>
      <c r="V13" s="623"/>
      <c r="W13" s="24"/>
      <c r="X13" s="24"/>
      <c r="Y13" s="24"/>
    </row>
    <row r="14" spans="1:25" ht="15.75" customHeight="1" x14ac:dyDescent="0.25">
      <c r="A14" s="5" t="s">
        <v>347</v>
      </c>
      <c r="B14" s="81">
        <v>9</v>
      </c>
      <c r="C14" s="81">
        <v>10.6</v>
      </c>
      <c r="D14" s="81" t="s">
        <v>348</v>
      </c>
      <c r="E14" s="81"/>
      <c r="F14" s="81"/>
      <c r="G14" s="81"/>
      <c r="H14" s="81"/>
      <c r="I14" s="81"/>
      <c r="J14" s="81"/>
      <c r="K14" s="81"/>
      <c r="L14" s="81"/>
      <c r="M14" s="81"/>
      <c r="N14" s="81"/>
      <c r="O14" s="108"/>
      <c r="P14" s="24"/>
      <c r="Q14" s="623"/>
      <c r="R14" s="623"/>
      <c r="S14" s="623"/>
      <c r="T14" s="623"/>
      <c r="U14" s="623"/>
      <c r="V14" s="623"/>
      <c r="W14" s="24"/>
      <c r="X14" s="24"/>
      <c r="Y14" s="24"/>
    </row>
    <row r="15" spans="1:25" ht="15.75" customHeight="1" x14ac:dyDescent="0.25">
      <c r="A15" s="118" t="s">
        <v>349</v>
      </c>
      <c r="B15" s="81">
        <v>73.900000000000006</v>
      </c>
      <c r="C15" s="81">
        <v>108</v>
      </c>
      <c r="D15" s="81">
        <v>117</v>
      </c>
      <c r="E15" s="81">
        <v>126.5</v>
      </c>
      <c r="F15" s="81">
        <v>126.6</v>
      </c>
      <c r="G15" s="81">
        <v>150.6</v>
      </c>
      <c r="H15" s="81">
        <v>167.95232469999996</v>
      </c>
      <c r="I15" s="81">
        <v>264.89999999999998</v>
      </c>
      <c r="J15" s="81" t="s">
        <v>351</v>
      </c>
      <c r="K15" s="81"/>
      <c r="L15" s="81"/>
      <c r="M15" s="81"/>
      <c r="N15" s="81"/>
      <c r="O15" s="108"/>
      <c r="P15" s="24"/>
      <c r="Q15" s="623"/>
      <c r="R15" s="623"/>
      <c r="S15" s="623"/>
      <c r="T15" s="623"/>
      <c r="U15" s="623"/>
      <c r="V15" s="623"/>
      <c r="W15" s="24"/>
      <c r="X15" s="24"/>
      <c r="Y15" s="24"/>
    </row>
    <row r="16" spans="1:25" ht="15.75" customHeight="1" x14ac:dyDescent="0.25">
      <c r="A16" s="118" t="s">
        <v>352</v>
      </c>
      <c r="B16" s="81"/>
      <c r="C16" s="81"/>
      <c r="D16" s="81"/>
      <c r="E16" s="81"/>
      <c r="F16" s="81"/>
      <c r="G16" s="81">
        <v>34</v>
      </c>
      <c r="H16" s="81">
        <v>46</v>
      </c>
      <c r="I16" s="81">
        <v>56</v>
      </c>
      <c r="J16" s="81" t="s">
        <v>353</v>
      </c>
      <c r="K16" s="81"/>
      <c r="L16" s="81"/>
      <c r="M16" s="178"/>
      <c r="N16" s="178"/>
      <c r="O16" s="219"/>
      <c r="P16" s="24"/>
      <c r="Q16" s="24"/>
      <c r="R16" s="24"/>
      <c r="S16" s="24"/>
      <c r="T16" s="24"/>
      <c r="U16" s="24"/>
      <c r="V16" s="24"/>
      <c r="W16" s="24"/>
      <c r="X16" s="24"/>
      <c r="Y16" s="24"/>
    </row>
    <row r="17" spans="1:25" ht="15.75" customHeight="1" x14ac:dyDescent="0.25">
      <c r="A17" s="118" t="s">
        <v>378</v>
      </c>
      <c r="B17" s="81"/>
      <c r="C17" s="81"/>
      <c r="D17" s="81"/>
      <c r="E17" s="81"/>
      <c r="F17" s="81"/>
      <c r="G17" s="81"/>
      <c r="H17" s="81">
        <v>8.3000000000000007</v>
      </c>
      <c r="I17" s="81">
        <v>20.3</v>
      </c>
      <c r="J17" s="81">
        <v>27.5</v>
      </c>
      <c r="K17" s="81">
        <v>522.20000000000005</v>
      </c>
      <c r="L17" s="81">
        <v>549.32720000000006</v>
      </c>
      <c r="M17" s="81">
        <v>472.7</v>
      </c>
      <c r="N17" s="81">
        <v>445.57254799999998</v>
      </c>
      <c r="O17" s="108">
        <f>O18+O19</f>
        <v>427.79306569599999</v>
      </c>
      <c r="P17" s="24"/>
      <c r="Q17" s="24"/>
      <c r="R17" s="24"/>
      <c r="S17" s="24"/>
      <c r="T17" s="24"/>
      <c r="U17" s="24"/>
      <c r="V17" s="24"/>
      <c r="W17" s="24"/>
      <c r="X17" s="24"/>
      <c r="Y17" s="24"/>
    </row>
    <row r="18" spans="1:25" ht="15.75" customHeight="1" x14ac:dyDescent="0.25">
      <c r="A18" s="95" t="s">
        <v>379</v>
      </c>
      <c r="B18" s="97"/>
      <c r="C18" s="97"/>
      <c r="D18" s="97"/>
      <c r="E18" s="97"/>
      <c r="F18" s="97"/>
      <c r="G18" s="97"/>
      <c r="H18" s="97"/>
      <c r="I18" s="97"/>
      <c r="J18" s="97"/>
      <c r="K18" s="97">
        <v>495</v>
      </c>
      <c r="L18" s="97">
        <v>522.1</v>
      </c>
      <c r="M18" s="97">
        <v>446.8</v>
      </c>
      <c r="N18" s="97">
        <v>421</v>
      </c>
      <c r="O18" s="223">
        <v>404.4</v>
      </c>
      <c r="P18" s="161"/>
      <c r="Q18" s="161"/>
      <c r="R18" s="161"/>
      <c r="S18" s="161"/>
      <c r="T18" s="161"/>
      <c r="U18" s="161"/>
      <c r="V18" s="161"/>
      <c r="W18" s="161"/>
      <c r="X18" s="161"/>
      <c r="Y18" s="161"/>
    </row>
    <row r="19" spans="1:25" ht="15.75" customHeight="1" x14ac:dyDescent="0.25">
      <c r="A19" s="95" t="s">
        <v>384</v>
      </c>
      <c r="B19" s="97"/>
      <c r="C19" s="97"/>
      <c r="D19" s="97"/>
      <c r="E19" s="97"/>
      <c r="F19" s="97"/>
      <c r="G19" s="97"/>
      <c r="H19" s="97">
        <v>8.3000000000000007</v>
      </c>
      <c r="I19" s="97">
        <v>20.3</v>
      </c>
      <c r="J19" s="97">
        <v>27.5</v>
      </c>
      <c r="K19" s="97">
        <v>27.2</v>
      </c>
      <c r="L19" s="97">
        <v>27.2272</v>
      </c>
      <c r="M19" s="97">
        <v>25.9</v>
      </c>
      <c r="N19" s="97">
        <v>24.572547999999998</v>
      </c>
      <c r="O19" s="229">
        <f>N19*0.952</f>
        <v>23.393065695999997</v>
      </c>
      <c r="P19" s="161"/>
      <c r="Q19" s="161"/>
      <c r="R19" s="161"/>
      <c r="S19" s="161"/>
      <c r="T19" s="161"/>
      <c r="U19" s="161"/>
      <c r="V19" s="161"/>
      <c r="W19" s="161"/>
      <c r="X19" s="161"/>
      <c r="Y19" s="161"/>
    </row>
    <row r="20" spans="1:25" ht="15.75" customHeight="1" x14ac:dyDescent="0.25">
      <c r="A20" s="118" t="s">
        <v>387</v>
      </c>
      <c r="B20" s="81">
        <v>84.8</v>
      </c>
      <c r="C20" s="81">
        <v>141.6</v>
      </c>
      <c r="D20" s="81">
        <v>212.4</v>
      </c>
      <c r="E20" s="81">
        <v>243.9</v>
      </c>
      <c r="F20" s="81">
        <v>325.2</v>
      </c>
      <c r="G20" s="81">
        <v>408</v>
      </c>
      <c r="H20" s="81">
        <v>602</v>
      </c>
      <c r="I20" s="81">
        <v>649.6</v>
      </c>
      <c r="J20" s="81">
        <v>554</v>
      </c>
      <c r="K20" s="81" t="s">
        <v>16</v>
      </c>
      <c r="L20" s="81"/>
      <c r="M20" s="81"/>
      <c r="N20" s="81"/>
      <c r="O20" s="108"/>
      <c r="P20" s="24"/>
      <c r="Q20" s="24"/>
      <c r="R20" s="24"/>
      <c r="S20" s="24"/>
      <c r="T20" s="24"/>
      <c r="U20" s="24"/>
      <c r="V20" s="24"/>
      <c r="W20" s="24"/>
      <c r="X20" s="24"/>
      <c r="Y20" s="24"/>
    </row>
    <row r="21" spans="1:25" ht="15.75" customHeight="1" x14ac:dyDescent="0.25">
      <c r="A21" s="118" t="s">
        <v>389</v>
      </c>
      <c r="B21" s="81">
        <v>58.4</v>
      </c>
      <c r="C21" s="81">
        <v>72.5</v>
      </c>
      <c r="D21" s="81">
        <v>136.9</v>
      </c>
      <c r="E21" s="81">
        <v>198.2</v>
      </c>
      <c r="F21" s="81">
        <v>275.89999999999998</v>
      </c>
      <c r="G21" s="81">
        <v>340.5</v>
      </c>
      <c r="H21" s="81" t="s">
        <v>390</v>
      </c>
      <c r="I21" s="81"/>
      <c r="J21" s="81"/>
      <c r="K21" s="81"/>
      <c r="L21" s="81"/>
      <c r="M21" s="81"/>
      <c r="N21" s="81"/>
      <c r="O21" s="108"/>
      <c r="P21" s="24"/>
      <c r="Q21" s="24"/>
      <c r="R21" s="24"/>
      <c r="S21" s="24"/>
      <c r="T21" s="24"/>
      <c r="U21" s="24"/>
      <c r="V21" s="24"/>
      <c r="W21" s="24"/>
      <c r="X21" s="24"/>
      <c r="Y21" s="24"/>
    </row>
    <row r="22" spans="1:25" ht="15.75" customHeight="1" x14ac:dyDescent="0.25">
      <c r="A22" s="118" t="s">
        <v>391</v>
      </c>
      <c r="B22" s="81">
        <v>15.7</v>
      </c>
      <c r="C22" s="81">
        <v>18.5</v>
      </c>
      <c r="D22" s="81">
        <v>45.7</v>
      </c>
      <c r="E22" s="81">
        <v>40.799999999999997</v>
      </c>
      <c r="F22" s="81">
        <v>149.6</v>
      </c>
      <c r="G22" s="81">
        <v>72</v>
      </c>
      <c r="H22" s="81">
        <v>76.400000000000006</v>
      </c>
      <c r="I22" s="81">
        <v>75.7</v>
      </c>
      <c r="J22" s="81">
        <v>204.8</v>
      </c>
      <c r="K22" s="81">
        <v>247</v>
      </c>
      <c r="L22" s="81">
        <v>298.5</v>
      </c>
      <c r="M22" s="81">
        <v>290.7</v>
      </c>
      <c r="N22" s="81">
        <v>273.3</v>
      </c>
      <c r="O22" s="84">
        <v>228.5</v>
      </c>
      <c r="P22" s="24"/>
      <c r="Q22" s="24"/>
      <c r="R22" s="24"/>
      <c r="S22" s="24"/>
      <c r="T22" s="24"/>
      <c r="U22" s="24"/>
      <c r="V22" s="24"/>
      <c r="W22" s="24"/>
      <c r="X22" s="24"/>
      <c r="Y22" s="24"/>
    </row>
    <row r="23" spans="1:25" ht="15.75" customHeight="1" x14ac:dyDescent="0.25">
      <c r="A23" s="118" t="s">
        <v>392</v>
      </c>
      <c r="B23" s="81">
        <v>34.750699999999995</v>
      </c>
      <c r="C23" s="81">
        <v>48.085200000000007</v>
      </c>
      <c r="D23" s="81">
        <v>51.215400000000002</v>
      </c>
      <c r="E23" s="81">
        <v>67.009177668162323</v>
      </c>
      <c r="F23" s="81" t="s">
        <v>145</v>
      </c>
      <c r="G23" s="81"/>
      <c r="H23" s="81"/>
      <c r="I23" s="81"/>
      <c r="J23" s="81"/>
      <c r="K23" s="81"/>
      <c r="L23" s="11"/>
      <c r="M23" s="11"/>
      <c r="N23" s="137"/>
      <c r="O23" s="160"/>
      <c r="P23" s="24"/>
      <c r="Q23" s="24"/>
      <c r="R23" s="24"/>
      <c r="S23" s="24"/>
      <c r="T23" s="24"/>
      <c r="U23" s="24"/>
      <c r="V23" s="24"/>
      <c r="W23" s="24"/>
      <c r="X23" s="24"/>
      <c r="Y23" s="24"/>
    </row>
    <row r="24" spans="1:25" ht="15.75" customHeight="1" x14ac:dyDescent="0.25">
      <c r="A24" s="118" t="s">
        <v>393</v>
      </c>
      <c r="B24" s="81">
        <v>69.900000000000006</v>
      </c>
      <c r="C24" s="81">
        <v>81.8</v>
      </c>
      <c r="D24" s="81" t="s">
        <v>394</v>
      </c>
      <c r="E24" s="81"/>
      <c r="F24" s="81"/>
      <c r="G24" s="81"/>
      <c r="H24" s="81"/>
      <c r="I24" s="81"/>
      <c r="J24" s="81"/>
      <c r="K24" s="81"/>
      <c r="L24" s="81"/>
      <c r="M24" s="81"/>
      <c r="N24" s="81"/>
      <c r="O24" s="108"/>
      <c r="P24" s="24"/>
      <c r="Q24" s="24"/>
      <c r="R24" s="24"/>
      <c r="S24" s="24"/>
      <c r="T24" s="24"/>
      <c r="U24" s="24"/>
      <c r="V24" s="24"/>
      <c r="W24" s="24"/>
      <c r="X24" s="24"/>
      <c r="Y24" s="24"/>
    </row>
    <row r="25" spans="1:25" ht="15.75" customHeight="1" x14ac:dyDescent="0.25">
      <c r="A25" s="118" t="s">
        <v>395</v>
      </c>
      <c r="B25" s="81"/>
      <c r="C25" s="81"/>
      <c r="D25" s="81"/>
      <c r="E25" s="81"/>
      <c r="F25" s="81"/>
      <c r="G25" s="81"/>
      <c r="H25" s="81">
        <v>224.3</v>
      </c>
      <c r="I25" s="81">
        <v>244.6</v>
      </c>
      <c r="J25" s="81">
        <v>286.3</v>
      </c>
      <c r="K25" s="81">
        <v>284.60000000000002</v>
      </c>
      <c r="L25" s="81">
        <v>265.89999999999998</v>
      </c>
      <c r="M25" s="81">
        <v>252.9</v>
      </c>
      <c r="N25" s="81">
        <v>236.50000000000003</v>
      </c>
      <c r="O25" s="84">
        <v>229.4</v>
      </c>
      <c r="P25" s="24"/>
      <c r="Q25" s="24"/>
      <c r="R25" s="24"/>
      <c r="S25" s="24"/>
      <c r="T25" s="24"/>
      <c r="U25" s="24"/>
      <c r="V25" s="24"/>
      <c r="W25" s="24"/>
      <c r="X25" s="24"/>
      <c r="Y25" s="24"/>
    </row>
    <row r="26" spans="1:25" ht="15.75" customHeight="1" x14ac:dyDescent="0.25">
      <c r="A26" s="118" t="s">
        <v>396</v>
      </c>
      <c r="B26" s="81">
        <v>89.3</v>
      </c>
      <c r="C26" s="81">
        <v>100.9</v>
      </c>
      <c r="D26" s="81">
        <v>138.69999999999999</v>
      </c>
      <c r="E26" s="81">
        <v>167</v>
      </c>
      <c r="F26" s="81">
        <v>184.1</v>
      </c>
      <c r="G26" s="81">
        <v>212.8</v>
      </c>
      <c r="H26" s="81" t="s">
        <v>294</v>
      </c>
      <c r="I26" s="81"/>
      <c r="J26" s="81"/>
      <c r="K26" s="81"/>
      <c r="L26" s="81"/>
      <c r="M26" s="81"/>
      <c r="N26" s="81"/>
      <c r="O26" s="108"/>
      <c r="P26" s="24"/>
      <c r="Q26" s="24"/>
      <c r="R26" s="24"/>
      <c r="S26" s="24"/>
      <c r="T26" s="24"/>
      <c r="U26" s="24"/>
      <c r="V26" s="24"/>
      <c r="W26" s="24"/>
      <c r="X26" s="24"/>
      <c r="Y26" s="24"/>
    </row>
    <row r="27" spans="1:25" ht="15.75" customHeight="1" x14ac:dyDescent="0.25">
      <c r="A27" s="118" t="s">
        <v>398</v>
      </c>
      <c r="B27" s="81">
        <v>84.8</v>
      </c>
      <c r="C27" s="81" t="s">
        <v>399</v>
      </c>
      <c r="D27" s="81"/>
      <c r="E27" s="81"/>
      <c r="F27" s="81"/>
      <c r="G27" s="81"/>
      <c r="H27" s="81"/>
      <c r="I27" s="81"/>
      <c r="J27" s="81"/>
      <c r="K27" s="81"/>
      <c r="L27" s="81"/>
      <c r="M27" s="81"/>
      <c r="N27" s="81"/>
      <c r="O27" s="108"/>
      <c r="P27" s="24"/>
      <c r="Q27" s="24"/>
      <c r="R27" s="24"/>
      <c r="S27" s="24"/>
      <c r="T27" s="24"/>
      <c r="U27" s="24"/>
      <c r="V27" s="24"/>
      <c r="W27" s="24"/>
      <c r="X27" s="24"/>
      <c r="Y27" s="24"/>
    </row>
    <row r="28" spans="1:25" ht="15.75" customHeight="1" x14ac:dyDescent="0.25">
      <c r="A28" s="118" t="s">
        <v>402</v>
      </c>
      <c r="B28" s="81">
        <v>17</v>
      </c>
      <c r="C28" s="81">
        <v>20</v>
      </c>
      <c r="D28" s="81" t="s">
        <v>403</v>
      </c>
      <c r="E28" s="81"/>
      <c r="F28" s="81"/>
      <c r="G28" s="81"/>
      <c r="H28" s="81"/>
      <c r="I28" s="81"/>
      <c r="J28" s="81"/>
      <c r="K28" s="81"/>
      <c r="L28" s="81"/>
      <c r="M28" s="81"/>
      <c r="N28" s="81"/>
      <c r="O28" s="108"/>
      <c r="P28" s="24"/>
      <c r="Q28" s="24"/>
      <c r="R28" s="160"/>
      <c r="S28" s="24"/>
      <c r="T28" s="24"/>
      <c r="U28" s="24"/>
      <c r="V28" s="24"/>
      <c r="W28" s="24"/>
      <c r="X28" s="24"/>
      <c r="Y28" s="24"/>
    </row>
    <row r="29" spans="1:25" ht="15.75" customHeight="1" x14ac:dyDescent="0.25">
      <c r="A29" s="5" t="s">
        <v>404</v>
      </c>
      <c r="B29" s="81"/>
      <c r="C29" s="81"/>
      <c r="D29" s="81"/>
      <c r="E29" s="81"/>
      <c r="F29" s="81"/>
      <c r="G29" s="81"/>
      <c r="H29" s="81"/>
      <c r="I29" s="81"/>
      <c r="J29" s="81">
        <v>97.7</v>
      </c>
      <c r="K29" s="81">
        <v>61.9</v>
      </c>
      <c r="L29" s="81">
        <v>66.5</v>
      </c>
      <c r="M29" s="81">
        <v>73.2</v>
      </c>
      <c r="N29" s="81">
        <v>76.900000000000006</v>
      </c>
      <c r="O29" s="84">
        <v>44.4</v>
      </c>
      <c r="P29" s="24"/>
      <c r="Q29" s="24"/>
      <c r="R29" s="24"/>
      <c r="S29" s="24"/>
      <c r="T29" s="24"/>
      <c r="U29" s="24"/>
      <c r="V29" s="24"/>
      <c r="W29" s="24"/>
      <c r="X29" s="24"/>
      <c r="Y29" s="24"/>
    </row>
    <row r="30" spans="1:25" ht="16.5" customHeight="1" x14ac:dyDescent="0.25">
      <c r="A30" s="118" t="s">
        <v>406</v>
      </c>
      <c r="B30" s="81">
        <v>6.6</v>
      </c>
      <c r="C30" s="81">
        <v>18.399999999999999</v>
      </c>
      <c r="D30" s="81">
        <v>43.5</v>
      </c>
      <c r="E30" s="81">
        <v>66.2</v>
      </c>
      <c r="F30" s="81">
        <v>70</v>
      </c>
      <c r="G30" s="81">
        <v>29.3</v>
      </c>
      <c r="H30" s="81">
        <v>37.200000000000003</v>
      </c>
      <c r="I30" s="81">
        <v>113</v>
      </c>
      <c r="J30" s="81" t="s">
        <v>407</v>
      </c>
      <c r="K30" s="81"/>
      <c r="L30" s="81"/>
      <c r="M30" s="81"/>
      <c r="N30" s="81"/>
      <c r="O30" s="108"/>
      <c r="P30" s="24"/>
      <c r="Q30" s="24"/>
      <c r="R30" s="24"/>
      <c r="S30" s="24"/>
      <c r="T30" s="24"/>
      <c r="U30" s="24"/>
      <c r="V30" s="24"/>
      <c r="W30" s="24"/>
      <c r="X30" s="24"/>
      <c r="Y30" s="24"/>
    </row>
    <row r="31" spans="1:25" ht="15.75" customHeight="1" x14ac:dyDescent="0.25">
      <c r="A31" s="5" t="s">
        <v>410</v>
      </c>
      <c r="B31" s="81"/>
      <c r="C31" s="81"/>
      <c r="D31" s="81"/>
      <c r="E31" s="81"/>
      <c r="F31" s="81"/>
      <c r="G31" s="81">
        <v>6.2</v>
      </c>
      <c r="H31" s="81">
        <v>52</v>
      </c>
      <c r="I31" s="81"/>
      <c r="J31" s="81"/>
      <c r="K31" s="81"/>
      <c r="L31" s="81"/>
      <c r="M31" s="81"/>
      <c r="N31" s="81"/>
      <c r="O31" s="108"/>
      <c r="P31" s="24"/>
      <c r="Q31" s="24"/>
      <c r="R31" s="24"/>
      <c r="S31" s="24"/>
      <c r="T31" s="24"/>
      <c r="U31" s="24"/>
      <c r="V31" s="24"/>
      <c r="W31" s="24"/>
      <c r="X31" s="24"/>
      <c r="Y31" s="24"/>
    </row>
    <row r="32" spans="1:25" ht="15.75" customHeight="1" x14ac:dyDescent="0.25">
      <c r="A32" s="118" t="s">
        <v>411</v>
      </c>
      <c r="B32" s="81">
        <v>55.4</v>
      </c>
      <c r="C32" s="81">
        <v>67.400000000000006</v>
      </c>
      <c r="D32" s="81">
        <v>118.3</v>
      </c>
      <c r="E32" s="81">
        <v>105.5</v>
      </c>
      <c r="F32" s="81">
        <v>65.099999999999994</v>
      </c>
      <c r="G32" s="81" t="s">
        <v>413</v>
      </c>
      <c r="H32" s="81"/>
      <c r="I32" s="81"/>
      <c r="J32" s="81"/>
      <c r="K32" s="81"/>
      <c r="L32" s="81"/>
      <c r="M32" s="81"/>
      <c r="N32" s="81"/>
      <c r="O32" s="108"/>
      <c r="P32" s="24"/>
      <c r="Q32" s="24"/>
      <c r="R32" s="24"/>
      <c r="S32" s="24"/>
      <c r="T32" s="24"/>
      <c r="U32" s="24"/>
      <c r="V32" s="24"/>
      <c r="W32" s="24"/>
      <c r="X32" s="24"/>
      <c r="Y32" s="24"/>
    </row>
    <row r="33" spans="1:25" ht="15.75" customHeight="1" x14ac:dyDescent="0.25">
      <c r="A33" s="5" t="s">
        <v>414</v>
      </c>
      <c r="B33" s="81"/>
      <c r="C33" s="81"/>
      <c r="D33" s="81"/>
      <c r="E33" s="81"/>
      <c r="F33" s="81"/>
      <c r="G33" s="81"/>
      <c r="H33" s="81"/>
      <c r="I33" s="81"/>
      <c r="J33" s="81"/>
      <c r="K33" s="81"/>
      <c r="L33" s="81"/>
      <c r="M33" s="81">
        <v>62</v>
      </c>
      <c r="N33" s="81">
        <v>58.9</v>
      </c>
      <c r="O33" s="84">
        <f>N33*(1-0.005)</f>
        <v>58.605499999999999</v>
      </c>
      <c r="P33" s="24"/>
      <c r="Q33" s="24"/>
      <c r="R33" s="24"/>
      <c r="S33" s="24"/>
      <c r="T33" s="24"/>
      <c r="U33" s="24"/>
      <c r="V33" s="24"/>
      <c r="W33" s="24"/>
      <c r="X33" s="24"/>
      <c r="Y33" s="24"/>
    </row>
    <row r="34" spans="1:25" ht="15" customHeight="1" x14ac:dyDescent="0.25">
      <c r="A34" s="118" t="s">
        <v>418</v>
      </c>
      <c r="B34" s="81">
        <v>7</v>
      </c>
      <c r="C34" s="81">
        <v>11.5</v>
      </c>
      <c r="D34" s="81">
        <v>13.9</v>
      </c>
      <c r="E34" s="81">
        <v>15.9</v>
      </c>
      <c r="F34" s="81">
        <v>17.399999999999999</v>
      </c>
      <c r="G34" s="81">
        <v>17.600000000000001</v>
      </c>
      <c r="H34" s="81">
        <v>21.4</v>
      </c>
      <c r="I34" s="81">
        <v>32.5</v>
      </c>
      <c r="J34" s="81">
        <v>34.1</v>
      </c>
      <c r="K34" s="81">
        <v>38.1</v>
      </c>
      <c r="L34" s="81">
        <v>39.1</v>
      </c>
      <c r="M34" s="81">
        <v>40.1</v>
      </c>
      <c r="N34" s="81">
        <f>M34*0.995</f>
        <v>39.899500000000003</v>
      </c>
      <c r="O34" s="84">
        <v>38.1</v>
      </c>
      <c r="P34" s="24"/>
      <c r="Q34" s="24"/>
      <c r="R34" s="24"/>
      <c r="S34" s="24"/>
      <c r="T34" s="24"/>
      <c r="U34" s="24"/>
      <c r="V34" s="24"/>
      <c r="W34" s="24"/>
      <c r="X34" s="24"/>
      <c r="Y34" s="24"/>
    </row>
    <row r="35" spans="1:25" ht="15.75" customHeight="1" x14ac:dyDescent="0.25">
      <c r="A35" s="5" t="s">
        <v>423</v>
      </c>
      <c r="B35" s="81"/>
      <c r="C35" s="81"/>
      <c r="D35" s="81"/>
      <c r="E35" s="81">
        <v>3.75</v>
      </c>
      <c r="F35" s="81">
        <v>4.5999999999999996</v>
      </c>
      <c r="G35" s="81">
        <v>7.6</v>
      </c>
      <c r="H35" s="81" t="s">
        <v>267</v>
      </c>
      <c r="I35" s="81"/>
      <c r="J35" s="81"/>
      <c r="K35" s="81"/>
      <c r="L35" s="81"/>
      <c r="M35" s="81"/>
      <c r="N35" s="81"/>
      <c r="O35" s="108"/>
      <c r="P35" s="24"/>
      <c r="Q35" s="24"/>
      <c r="R35" s="24"/>
      <c r="S35" s="24"/>
      <c r="T35" s="24"/>
      <c r="U35" s="24"/>
      <c r="V35" s="24"/>
      <c r="W35" s="24"/>
      <c r="X35" s="24"/>
      <c r="Y35" s="24"/>
    </row>
    <row r="36" spans="1:25" ht="15.75" customHeight="1" x14ac:dyDescent="0.25">
      <c r="A36" s="5"/>
      <c r="B36" s="81"/>
      <c r="C36" s="81"/>
      <c r="D36" s="81"/>
      <c r="E36" s="81"/>
      <c r="F36" s="81"/>
      <c r="G36" s="81"/>
      <c r="H36" s="81"/>
      <c r="I36" s="81"/>
      <c r="J36" s="81"/>
      <c r="K36" s="81"/>
      <c r="L36" s="81"/>
      <c r="M36" s="81"/>
      <c r="N36" s="81"/>
      <c r="O36" s="108"/>
      <c r="P36" s="24"/>
      <c r="Q36" s="24"/>
      <c r="R36" s="24"/>
      <c r="S36" s="24"/>
      <c r="T36" s="24"/>
      <c r="U36" s="24"/>
      <c r="V36" s="24"/>
      <c r="W36" s="24"/>
      <c r="X36" s="24"/>
      <c r="Y36" s="24"/>
    </row>
    <row r="37" spans="1:25" ht="15.75" customHeight="1" x14ac:dyDescent="0.25">
      <c r="A37" s="5" t="s">
        <v>426</v>
      </c>
      <c r="B37" s="81">
        <v>899.61300000000006</v>
      </c>
      <c r="C37" s="81">
        <v>1188.057</v>
      </c>
      <c r="D37" s="81">
        <v>1364.9880000000001</v>
      </c>
      <c r="E37" s="81">
        <v>1460.4960000000001</v>
      </c>
      <c r="F37" s="81">
        <v>1603.8820000000001</v>
      </c>
      <c r="G37" s="81">
        <v>1821.8679999999999</v>
      </c>
      <c r="H37" s="81">
        <v>1887.221</v>
      </c>
      <c r="I37" s="81">
        <v>2082.902</v>
      </c>
      <c r="J37" s="81">
        <v>2147.4169999999999</v>
      </c>
      <c r="K37" s="81">
        <v>2156.7640000000001</v>
      </c>
      <c r="L37" s="81">
        <v>2162.9340000000002</v>
      </c>
      <c r="M37" s="81">
        <v>2050.6709999999998</v>
      </c>
      <c r="N37" s="128">
        <v>1958</v>
      </c>
      <c r="O37" s="84">
        <v>1803.7</v>
      </c>
      <c r="P37" s="24"/>
      <c r="Q37" s="24"/>
      <c r="R37" s="24"/>
      <c r="S37" s="24"/>
      <c r="T37" s="24"/>
      <c r="U37" s="24"/>
      <c r="V37" s="24"/>
      <c r="W37" s="24"/>
      <c r="X37" s="24"/>
      <c r="Y37" s="24"/>
    </row>
    <row r="38" spans="1:25" ht="12.75" customHeight="1" x14ac:dyDescent="0.25">
      <c r="A38" s="5" t="s">
        <v>429</v>
      </c>
      <c r="B38" s="81">
        <v>586.1099999999999</v>
      </c>
      <c r="C38" s="81">
        <v>643.92999999999995</v>
      </c>
      <c r="D38" s="81">
        <v>627.41</v>
      </c>
      <c r="E38" s="81">
        <v>630.41999999999996</v>
      </c>
      <c r="F38" s="81">
        <v>674.31</v>
      </c>
      <c r="G38" s="81">
        <v>664.3</v>
      </c>
      <c r="H38" s="81">
        <v>654.29</v>
      </c>
      <c r="I38" s="81">
        <v>737.44999999999993</v>
      </c>
      <c r="J38" s="81">
        <v>826.8</v>
      </c>
      <c r="K38" s="81">
        <v>840.59999999999991</v>
      </c>
      <c r="L38" s="81">
        <v>839.1</v>
      </c>
      <c r="M38" s="81">
        <v>861.4</v>
      </c>
      <c r="N38" s="81">
        <v>783.2</v>
      </c>
      <c r="O38" s="84">
        <v>726</v>
      </c>
      <c r="P38" s="24"/>
      <c r="Q38" s="24"/>
      <c r="R38" s="24"/>
      <c r="S38" s="24"/>
      <c r="T38" s="24"/>
      <c r="U38" s="24"/>
      <c r="V38" s="24"/>
      <c r="W38" s="24"/>
      <c r="X38" s="24"/>
      <c r="Y38" s="24"/>
    </row>
    <row r="39" spans="1:25" ht="15.75" customHeight="1" x14ac:dyDescent="0.25">
      <c r="A39" s="5" t="s">
        <v>430</v>
      </c>
      <c r="B39" s="81">
        <v>224.8</v>
      </c>
      <c r="C39" s="81">
        <v>338.4</v>
      </c>
      <c r="D39" s="81">
        <v>410.9</v>
      </c>
      <c r="E39" s="81">
        <v>398.20000000000005</v>
      </c>
      <c r="F39" s="81">
        <v>385.50000000000006</v>
      </c>
      <c r="G39" s="81">
        <v>445.04999999999995</v>
      </c>
      <c r="H39" s="81">
        <v>504.6</v>
      </c>
      <c r="I39" s="81">
        <v>369.8</v>
      </c>
      <c r="J39" s="81">
        <v>416.5</v>
      </c>
      <c r="K39" s="81">
        <v>418</v>
      </c>
      <c r="L39" s="81">
        <v>499.69999999999993</v>
      </c>
      <c r="M39" s="81">
        <v>507.80000000000007</v>
      </c>
      <c r="N39" s="81">
        <v>463.69999999999993</v>
      </c>
      <c r="O39" s="84">
        <v>529.5</v>
      </c>
      <c r="P39" s="24"/>
      <c r="Q39" s="44"/>
      <c r="R39" s="24"/>
      <c r="S39" s="24"/>
      <c r="T39" s="24"/>
      <c r="U39" s="24"/>
      <c r="V39" s="24"/>
      <c r="W39" s="24"/>
      <c r="X39" s="24"/>
      <c r="Y39" s="24"/>
    </row>
    <row r="40" spans="1:25" ht="15.75" customHeight="1" x14ac:dyDescent="0.25">
      <c r="A40" s="9"/>
      <c r="B40" s="11"/>
      <c r="C40" s="11"/>
      <c r="D40" s="11"/>
      <c r="E40" s="11"/>
      <c r="F40" s="11"/>
      <c r="G40" s="11"/>
      <c r="H40" s="11"/>
      <c r="I40" s="11"/>
      <c r="J40" s="11"/>
      <c r="K40" s="11"/>
      <c r="L40" s="11"/>
      <c r="M40" s="11"/>
      <c r="N40" s="11"/>
      <c r="O40" s="24"/>
      <c r="P40" s="24"/>
      <c r="Q40" s="44"/>
      <c r="R40" s="24"/>
      <c r="S40" s="24"/>
      <c r="T40" s="24"/>
      <c r="U40" s="24"/>
      <c r="V40" s="24"/>
      <c r="W40" s="24"/>
      <c r="X40" s="24"/>
      <c r="Y40" s="24"/>
    </row>
    <row r="41" spans="1:25" ht="15.75" customHeight="1" x14ac:dyDescent="0.25">
      <c r="A41" s="9"/>
      <c r="B41" s="11"/>
      <c r="C41" s="11"/>
      <c r="D41" s="11"/>
      <c r="E41" s="11"/>
      <c r="F41" s="11"/>
      <c r="G41" s="11"/>
      <c r="H41" s="11"/>
      <c r="I41" s="11"/>
      <c r="J41" s="11"/>
      <c r="K41" s="11"/>
      <c r="L41" s="11"/>
      <c r="M41" s="11"/>
      <c r="N41" s="11"/>
      <c r="O41" s="24"/>
      <c r="P41" s="24"/>
      <c r="Q41" s="44"/>
      <c r="R41" s="24"/>
      <c r="S41" s="24"/>
      <c r="T41" s="24"/>
      <c r="U41" s="24"/>
      <c r="V41" s="24"/>
      <c r="W41" s="24"/>
      <c r="X41" s="24"/>
      <c r="Y41" s="24"/>
    </row>
    <row r="42" spans="1:25" ht="15.75" customHeight="1" x14ac:dyDescent="0.25">
      <c r="A42" s="9"/>
      <c r="B42" s="11"/>
      <c r="C42" s="11"/>
      <c r="D42" s="11"/>
      <c r="E42" s="11"/>
      <c r="F42" s="11"/>
      <c r="G42" s="11"/>
      <c r="H42" s="11"/>
      <c r="I42" s="11"/>
      <c r="J42" s="11"/>
      <c r="K42" s="11"/>
      <c r="L42" s="11"/>
      <c r="M42" s="11"/>
      <c r="N42" s="11"/>
      <c r="O42" s="24"/>
      <c r="P42" s="24"/>
      <c r="Q42" s="44"/>
      <c r="R42" s="24"/>
      <c r="S42" s="24"/>
      <c r="T42" s="24"/>
      <c r="U42" s="24"/>
      <c r="V42" s="24"/>
      <c r="W42" s="24"/>
      <c r="X42" s="24"/>
      <c r="Y42" s="24"/>
    </row>
    <row r="43" spans="1:25" ht="15.75" customHeight="1" x14ac:dyDescent="0.25">
      <c r="A43" s="41" t="s">
        <v>41</v>
      </c>
      <c r="B43" s="42">
        <v>1710.5229999999999</v>
      </c>
      <c r="C43" s="42">
        <v>2170.3870000000002</v>
      </c>
      <c r="D43" s="42">
        <v>2403.2980000000002</v>
      </c>
      <c r="E43" s="42">
        <v>2489.116</v>
      </c>
      <c r="F43" s="42">
        <v>2663.692</v>
      </c>
      <c r="G43" s="42">
        <v>2931.2179999999998</v>
      </c>
      <c r="H43" s="42">
        <v>3046.1109999999999</v>
      </c>
      <c r="I43" s="42">
        <v>3190.152</v>
      </c>
      <c r="J43" s="42">
        <v>3390.7169999999996</v>
      </c>
      <c r="K43" s="42">
        <v>3415.364</v>
      </c>
      <c r="L43" s="42">
        <v>3501.7339999999999</v>
      </c>
      <c r="M43" s="42">
        <v>3419.8710000000001</v>
      </c>
      <c r="N43" s="44">
        <v>3190.9</v>
      </c>
      <c r="O43" s="44">
        <f>O37+O38+O39</f>
        <v>3059.2</v>
      </c>
      <c r="P43" s="44">
        <f>(L43-O43)/L43*100</f>
        <v>12.637567559386294</v>
      </c>
      <c r="Q43" s="44"/>
      <c r="R43" s="44"/>
      <c r="S43" s="44"/>
      <c r="T43" s="44"/>
      <c r="U43" s="44"/>
      <c r="V43" s="44"/>
      <c r="W43" s="44"/>
      <c r="X43" s="44"/>
      <c r="Y43" s="44"/>
    </row>
    <row r="44" spans="1:25" ht="12.75" customHeight="1" x14ac:dyDescent="0.25">
      <c r="A44" s="41" t="s">
        <v>42</v>
      </c>
      <c r="B44" s="257">
        <f>'Broadcast TV (MS)'!B44</f>
        <v>66.222669908560135</v>
      </c>
      <c r="C44" s="257">
        <f>'Broadcast TV (MS)'!C44</f>
        <v>66.972940770470885</v>
      </c>
      <c r="D44" s="257">
        <f>'Broadcast TV (MS)'!D44</f>
        <v>64.832575901948061</v>
      </c>
      <c r="E44" s="257">
        <f>'Broadcast TV (MS)'!E44</f>
        <v>66.8150459841968</v>
      </c>
      <c r="F44" s="257">
        <f>'Broadcast TV (MS)'!F44</f>
        <v>70.469934211613051</v>
      </c>
      <c r="G44" s="257">
        <f>'Broadcast TV (MS)'!G44</f>
        <v>76.840071260479434</v>
      </c>
      <c r="H44" s="257">
        <f>'Broadcast TV (MS)'!H44</f>
        <v>81.487181524245173</v>
      </c>
      <c r="I44" s="257">
        <f>'Broadcast TV (MS)'!I44</f>
        <v>84.815707840880307</v>
      </c>
      <c r="J44" s="257">
        <f>'Broadcast TV (MS)'!J44</f>
        <v>86.229549679315625</v>
      </c>
      <c r="K44" s="257">
        <f>'Broadcast TV (MS)'!K44</f>
        <v>87.809088577381516</v>
      </c>
      <c r="L44" s="257">
        <f>'Broadcast TV (MS)'!L44</f>
        <v>86.335147101407486</v>
      </c>
      <c r="M44" s="257">
        <f>'Broadcast TV (MS)'!M44</f>
        <v>86.07049798077179</v>
      </c>
      <c r="N44" s="282">
        <f>'Broadcast TV (MS)'!N44</f>
        <v>85.927874518161019</v>
      </c>
      <c r="O44" s="282">
        <f>'Broadcast TV (MS)'!O44</f>
        <v>86.564888392259419</v>
      </c>
      <c r="P44" s="24"/>
      <c r="Q44" s="24"/>
      <c r="R44" s="24"/>
      <c r="S44" s="24"/>
      <c r="T44" s="24"/>
      <c r="U44" s="24"/>
      <c r="V44" s="24"/>
      <c r="W44" s="24"/>
      <c r="X44" s="24"/>
      <c r="Y44" s="24"/>
    </row>
    <row r="45" spans="1:25" ht="12.75" customHeight="1" x14ac:dyDescent="0.25">
      <c r="A45" s="41" t="s">
        <v>43</v>
      </c>
      <c r="B45" s="257">
        <f>'Broadcast TV (MS)'!B45</f>
        <v>2467.1300079591197</v>
      </c>
      <c r="C45" s="257">
        <f>'Broadcast TV (MS)'!C45</f>
        <v>2298.9776520609844</v>
      </c>
      <c r="D45" s="257">
        <f>'Broadcast TV (MS)'!D45</f>
        <v>2126.1509121051836</v>
      </c>
      <c r="E45" s="257">
        <f>'Broadcast TV (MS)'!E45</f>
        <v>2039.5643011180412</v>
      </c>
      <c r="F45" s="257">
        <f>'Broadcast TV (MS)'!F45</f>
        <v>2026.8308786661869</v>
      </c>
      <c r="G45" s="257">
        <f>'Broadcast TV (MS)'!G45</f>
        <v>2030.0892255085823</v>
      </c>
      <c r="H45" s="257">
        <f>'Broadcast TV (MS)'!H45</f>
        <v>2202.3611544137948</v>
      </c>
      <c r="I45" s="257">
        <f>'Broadcast TV (MS)'!I45</f>
        <v>2229.4666056696465</v>
      </c>
      <c r="J45" s="257">
        <f>'Broadcast TV (MS)'!J45</f>
        <v>2343.3170457883666</v>
      </c>
      <c r="K45" s="257">
        <f>'Broadcast TV (MS)'!K45</f>
        <v>2465.2690304568564</v>
      </c>
      <c r="L45" s="257">
        <f>'Broadcast TV (MS)'!L45</f>
        <v>2413.7721879312066</v>
      </c>
      <c r="M45" s="257">
        <f>'Broadcast TV (MS)'!M45</f>
        <v>2492.4929837070836</v>
      </c>
      <c r="N45" s="282">
        <f>'Broadcast TV (MS)'!N45</f>
        <v>2452.6263980218159</v>
      </c>
      <c r="O45" s="282">
        <f>'Broadcast TV (MS)'!O45</f>
        <v>2578.6328284934875</v>
      </c>
      <c r="P45" s="24"/>
      <c r="Q45" s="24"/>
      <c r="R45" s="24"/>
      <c r="S45" s="24"/>
      <c r="T45" s="24"/>
      <c r="U45" s="24"/>
      <c r="V45" s="24"/>
      <c r="W45" s="24"/>
      <c r="X45" s="24"/>
      <c r="Y45" s="24"/>
    </row>
    <row r="46" spans="1:25" ht="12.75" customHeight="1" x14ac:dyDescent="0.25">
      <c r="A46" s="294" t="s">
        <v>368</v>
      </c>
      <c r="B46" s="154"/>
      <c r="C46" s="154"/>
      <c r="D46" s="154"/>
      <c r="E46" s="154"/>
      <c r="F46" s="154"/>
      <c r="G46" s="154"/>
      <c r="H46" s="154"/>
      <c r="I46" s="154"/>
      <c r="J46" s="154"/>
      <c r="K46" s="295">
        <f>'Broadcast TV (MS)'!K46</f>
        <v>87.012687373878748</v>
      </c>
      <c r="L46" s="295">
        <f>'Broadcast TV (MS)'!L46</f>
        <v>85.557612314356263</v>
      </c>
      <c r="M46" s="295">
        <f>'Broadcast TV (MS)'!M46</f>
        <v>85.313159472974277</v>
      </c>
      <c r="N46" s="304">
        <f>'Broadcast TV (MS)'!N46</f>
        <v>85.157792472343232</v>
      </c>
      <c r="O46" s="304">
        <f>'Broadcast TV (MS)'!O46</f>
        <v>85.800209205020934</v>
      </c>
      <c r="P46" s="161"/>
      <c r="Q46" s="161"/>
      <c r="R46" s="161"/>
      <c r="S46" s="161"/>
      <c r="T46" s="161"/>
      <c r="U46" s="161"/>
      <c r="V46" s="161"/>
      <c r="W46" s="161"/>
      <c r="X46" s="161"/>
      <c r="Y46" s="161"/>
    </row>
    <row r="47" spans="1:25" ht="12.75" customHeight="1" x14ac:dyDescent="0.25">
      <c r="A47" s="294" t="s">
        <v>377</v>
      </c>
      <c r="B47" s="154"/>
      <c r="C47" s="154"/>
      <c r="D47" s="154"/>
      <c r="E47" s="154"/>
      <c r="F47" s="154"/>
      <c r="G47" s="154"/>
      <c r="H47" s="154"/>
      <c r="I47" s="154"/>
      <c r="J47" s="154"/>
      <c r="K47" s="295">
        <f>'Broadcast TV (MS)'!K47</f>
        <v>2675.959920852803</v>
      </c>
      <c r="L47" s="295">
        <f>'Broadcast TV (MS)'!L47</f>
        <v>2636.6775763696901</v>
      </c>
      <c r="M47" s="295">
        <f>'Broadcast TV (MS)'!M47</f>
        <v>2663.7560743033891</v>
      </c>
      <c r="N47" s="304">
        <f>'Broadcast TV (MS)'!N47</f>
        <v>2627.2949854611584</v>
      </c>
      <c r="O47" s="304">
        <f>'Broadcast TV (MS)'!O47</f>
        <v>2753.9632848275141</v>
      </c>
      <c r="P47" s="161"/>
      <c r="Q47" s="161"/>
      <c r="R47" s="161"/>
      <c r="S47" s="161"/>
      <c r="T47" s="161"/>
      <c r="U47" s="161"/>
      <c r="V47" s="161"/>
      <c r="W47" s="161"/>
      <c r="X47" s="161"/>
      <c r="Y47" s="161"/>
    </row>
    <row r="48" spans="1:25" ht="12.75" customHeight="1" x14ac:dyDescent="0.25">
      <c r="A48" s="9"/>
      <c r="B48" s="11"/>
      <c r="C48" s="11"/>
      <c r="D48" s="11"/>
      <c r="E48" s="11"/>
      <c r="F48" s="11"/>
      <c r="G48" s="11"/>
      <c r="H48" s="11"/>
      <c r="I48" s="24"/>
      <c r="J48" s="24"/>
      <c r="K48" s="24"/>
      <c r="L48" s="24"/>
      <c r="M48" s="24"/>
      <c r="N48" s="24"/>
      <c r="O48" s="24"/>
      <c r="P48" s="24"/>
      <c r="Q48" s="24"/>
      <c r="R48" s="24"/>
      <c r="S48" s="24"/>
      <c r="T48" s="24"/>
      <c r="U48" s="24"/>
      <c r="V48" s="24"/>
      <c r="W48" s="24"/>
      <c r="X48" s="24"/>
      <c r="Y48" s="24"/>
    </row>
    <row r="49" spans="1:25" ht="12.75" customHeight="1" x14ac:dyDescent="0.25">
      <c r="A49" s="9"/>
      <c r="B49" s="46" t="s">
        <v>545</v>
      </c>
      <c r="C49" s="11"/>
      <c r="D49" s="11"/>
      <c r="E49" s="11"/>
      <c r="F49" s="11"/>
      <c r="G49" s="11"/>
      <c r="H49" s="11"/>
      <c r="I49" s="24"/>
      <c r="J49" s="24"/>
      <c r="K49" s="24"/>
      <c r="L49" s="24"/>
      <c r="M49" s="24"/>
      <c r="N49" s="24"/>
      <c r="O49" s="24"/>
      <c r="P49" s="24"/>
      <c r="Q49" s="24"/>
      <c r="R49" s="24"/>
      <c r="S49" s="24"/>
      <c r="T49" s="24"/>
      <c r="U49" s="24"/>
      <c r="V49" s="24"/>
      <c r="W49" s="24"/>
      <c r="X49" s="24"/>
      <c r="Y49" s="24"/>
    </row>
    <row r="50" spans="1:25" ht="32.25" customHeight="1" x14ac:dyDescent="0.25">
      <c r="A50" s="9"/>
      <c r="B50" s="639" t="s">
        <v>550</v>
      </c>
      <c r="C50" s="623"/>
      <c r="D50" s="623"/>
      <c r="E50" s="623"/>
      <c r="F50" s="623"/>
      <c r="G50" s="623"/>
      <c r="H50" s="623"/>
      <c r="I50" s="623"/>
      <c r="J50" s="623"/>
      <c r="K50" s="623"/>
      <c r="L50" s="623"/>
      <c r="M50" s="623"/>
      <c r="N50" s="623"/>
      <c r="O50" s="623"/>
      <c r="P50" s="24"/>
      <c r="Q50" s="24"/>
      <c r="R50" s="24"/>
      <c r="S50" s="24"/>
      <c r="T50" s="24"/>
      <c r="U50" s="24"/>
      <c r="V50" s="24"/>
      <c r="W50" s="24"/>
      <c r="X50" s="24"/>
      <c r="Y50" s="24"/>
    </row>
    <row r="51" spans="1:25" ht="15.75" customHeight="1" x14ac:dyDescent="0.25">
      <c r="A51" s="9"/>
      <c r="B51" s="623"/>
      <c r="C51" s="623"/>
      <c r="D51" s="623"/>
      <c r="E51" s="623"/>
      <c r="F51" s="623"/>
      <c r="G51" s="623"/>
      <c r="H51" s="623"/>
      <c r="I51" s="623"/>
      <c r="J51" s="623"/>
      <c r="K51" s="623"/>
      <c r="L51" s="623"/>
      <c r="M51" s="623"/>
      <c r="N51" s="623"/>
      <c r="O51" s="623"/>
      <c r="P51" s="24"/>
      <c r="Q51" s="24"/>
      <c r="R51" s="24"/>
      <c r="S51" s="24"/>
      <c r="T51" s="24"/>
      <c r="U51" s="24"/>
      <c r="V51" s="24"/>
      <c r="W51" s="24"/>
      <c r="X51" s="24"/>
      <c r="Y51" s="24"/>
    </row>
    <row r="52" spans="1:25" ht="15.75" customHeight="1" x14ac:dyDescent="0.25">
      <c r="A52" s="25"/>
      <c r="B52" s="623"/>
      <c r="C52" s="623"/>
      <c r="D52" s="623"/>
      <c r="E52" s="623"/>
      <c r="F52" s="623"/>
      <c r="G52" s="623"/>
      <c r="H52" s="623"/>
      <c r="I52" s="623"/>
      <c r="J52" s="623"/>
      <c r="K52" s="623"/>
      <c r="L52" s="623"/>
      <c r="M52" s="623"/>
      <c r="N52" s="623"/>
      <c r="O52" s="623"/>
      <c r="P52" s="24"/>
      <c r="Q52" s="24"/>
      <c r="R52" s="24"/>
      <c r="S52" s="24"/>
      <c r="T52" s="24"/>
      <c r="U52" s="24"/>
      <c r="V52" s="24"/>
      <c r="W52" s="24"/>
      <c r="X52" s="24"/>
      <c r="Y52" s="24"/>
    </row>
    <row r="53" spans="1:25" ht="15.75" customHeight="1" x14ac:dyDescent="0.25">
      <c r="A53" s="25"/>
      <c r="B53" s="623"/>
      <c r="C53" s="623"/>
      <c r="D53" s="623"/>
      <c r="E53" s="623"/>
      <c r="F53" s="623"/>
      <c r="G53" s="623"/>
      <c r="H53" s="623"/>
      <c r="I53" s="623"/>
      <c r="J53" s="623"/>
      <c r="K53" s="623"/>
      <c r="L53" s="623"/>
      <c r="M53" s="623"/>
      <c r="N53" s="623"/>
      <c r="O53" s="623"/>
      <c r="P53" s="24"/>
      <c r="Q53" s="24"/>
      <c r="R53" s="24"/>
      <c r="S53" s="24"/>
      <c r="T53" s="24"/>
      <c r="U53" s="24"/>
      <c r="V53" s="24"/>
      <c r="W53" s="24"/>
      <c r="X53" s="24"/>
      <c r="Y53" s="24"/>
    </row>
    <row r="54" spans="1:25" ht="15.75" customHeight="1" x14ac:dyDescent="0.25">
      <c r="A54" s="25"/>
      <c r="B54" s="623"/>
      <c r="C54" s="623"/>
      <c r="D54" s="623"/>
      <c r="E54" s="623"/>
      <c r="F54" s="623"/>
      <c r="G54" s="623"/>
      <c r="H54" s="623"/>
      <c r="I54" s="623"/>
      <c r="J54" s="623"/>
      <c r="K54" s="623"/>
      <c r="L54" s="623"/>
      <c r="M54" s="623"/>
      <c r="N54" s="623"/>
      <c r="O54" s="623"/>
      <c r="P54" s="24"/>
      <c r="Q54" s="24"/>
      <c r="R54" s="24"/>
      <c r="S54" s="24"/>
      <c r="T54" s="24"/>
      <c r="U54" s="24"/>
      <c r="V54" s="24"/>
      <c r="W54" s="24"/>
      <c r="X54" s="24"/>
      <c r="Y54" s="24"/>
    </row>
    <row r="55" spans="1:25" ht="15.75" customHeight="1" x14ac:dyDescent="0.25">
      <c r="A55" s="25"/>
      <c r="B55" s="623"/>
      <c r="C55" s="623"/>
      <c r="D55" s="623"/>
      <c r="E55" s="623"/>
      <c r="F55" s="623"/>
      <c r="G55" s="623"/>
      <c r="H55" s="623"/>
      <c r="I55" s="623"/>
      <c r="J55" s="623"/>
      <c r="K55" s="623"/>
      <c r="L55" s="623"/>
      <c r="M55" s="623"/>
      <c r="N55" s="623"/>
      <c r="O55" s="623"/>
      <c r="P55" s="24"/>
      <c r="Q55" s="24"/>
      <c r="R55" s="24"/>
      <c r="S55" s="24"/>
      <c r="T55" s="24"/>
      <c r="U55" s="24"/>
      <c r="V55" s="24"/>
      <c r="W55" s="24"/>
      <c r="X55" s="24"/>
      <c r="Y55" s="24"/>
    </row>
    <row r="56" spans="1:25" ht="15.75" customHeight="1" x14ac:dyDescent="0.25">
      <c r="A56" s="25"/>
      <c r="B56" s="623"/>
      <c r="C56" s="623"/>
      <c r="D56" s="623"/>
      <c r="E56" s="623"/>
      <c r="F56" s="623"/>
      <c r="G56" s="623"/>
      <c r="H56" s="623"/>
      <c r="I56" s="623"/>
      <c r="J56" s="623"/>
      <c r="K56" s="623"/>
      <c r="L56" s="623"/>
      <c r="M56" s="623"/>
      <c r="N56" s="623"/>
      <c r="O56" s="623"/>
      <c r="P56" s="24"/>
      <c r="Q56" s="24"/>
      <c r="R56" s="24"/>
      <c r="S56" s="24"/>
      <c r="T56" s="24"/>
      <c r="U56" s="24"/>
      <c r="V56" s="24"/>
      <c r="W56" s="24"/>
      <c r="X56" s="24"/>
      <c r="Y56" s="24"/>
    </row>
    <row r="57" spans="1:25" ht="15.75" customHeight="1" x14ac:dyDescent="0.25">
      <c r="A57" s="25"/>
      <c r="B57" s="623"/>
      <c r="C57" s="623"/>
      <c r="D57" s="623"/>
      <c r="E57" s="623"/>
      <c r="F57" s="623"/>
      <c r="G57" s="623"/>
      <c r="H57" s="623"/>
      <c r="I57" s="623"/>
      <c r="J57" s="623"/>
      <c r="K57" s="623"/>
      <c r="L57" s="623"/>
      <c r="M57" s="623"/>
      <c r="N57" s="623"/>
      <c r="O57" s="623"/>
      <c r="P57" s="24"/>
      <c r="Q57" s="24"/>
      <c r="R57" s="24"/>
      <c r="S57" s="24"/>
      <c r="T57" s="24"/>
      <c r="U57" s="24"/>
      <c r="V57" s="24"/>
      <c r="W57" s="24"/>
      <c r="X57" s="24"/>
      <c r="Y57" s="24"/>
    </row>
    <row r="58" spans="1:25" ht="15.75" customHeight="1" x14ac:dyDescent="0.25">
      <c r="A58" s="25"/>
      <c r="B58" s="623"/>
      <c r="C58" s="623"/>
      <c r="D58" s="623"/>
      <c r="E58" s="623"/>
      <c r="F58" s="623"/>
      <c r="G58" s="623"/>
      <c r="H58" s="623"/>
      <c r="I58" s="623"/>
      <c r="J58" s="623"/>
      <c r="K58" s="623"/>
      <c r="L58" s="623"/>
      <c r="M58" s="623"/>
      <c r="N58" s="623"/>
      <c r="O58" s="623"/>
      <c r="P58" s="24"/>
      <c r="Q58" s="24"/>
      <c r="R58" s="24"/>
      <c r="S58" s="24"/>
      <c r="T58" s="24"/>
      <c r="U58" s="24"/>
      <c r="V58" s="24"/>
      <c r="W58" s="24"/>
      <c r="X58" s="24"/>
      <c r="Y58" s="24"/>
    </row>
    <row r="59" spans="1:25" ht="15.75" customHeight="1" x14ac:dyDescent="0.25">
      <c r="A59" s="25"/>
      <c r="B59" s="623"/>
      <c r="C59" s="623"/>
      <c r="D59" s="623"/>
      <c r="E59" s="623"/>
      <c r="F59" s="623"/>
      <c r="G59" s="623"/>
      <c r="H59" s="623"/>
      <c r="I59" s="623"/>
      <c r="J59" s="623"/>
      <c r="K59" s="623"/>
      <c r="L59" s="623"/>
      <c r="M59" s="623"/>
      <c r="N59" s="623"/>
      <c r="O59" s="623"/>
      <c r="P59" s="24"/>
      <c r="Q59" s="24"/>
      <c r="R59" s="24"/>
      <c r="S59" s="24"/>
      <c r="T59" s="24"/>
      <c r="U59" s="24"/>
      <c r="V59" s="24"/>
      <c r="W59" s="24"/>
      <c r="X59" s="24"/>
      <c r="Y59" s="24"/>
    </row>
    <row r="60" spans="1:25" ht="15.75" customHeight="1" x14ac:dyDescent="0.25">
      <c r="A60" s="25"/>
      <c r="B60" s="623"/>
      <c r="C60" s="623"/>
      <c r="D60" s="623"/>
      <c r="E60" s="623"/>
      <c r="F60" s="623"/>
      <c r="G60" s="623"/>
      <c r="H60" s="623"/>
      <c r="I60" s="623"/>
      <c r="J60" s="623"/>
      <c r="K60" s="623"/>
      <c r="L60" s="623"/>
      <c r="M60" s="623"/>
      <c r="N60" s="623"/>
      <c r="O60" s="623"/>
      <c r="P60" s="24"/>
      <c r="Q60" s="24"/>
      <c r="R60" s="24"/>
      <c r="S60" s="24"/>
      <c r="T60" s="24"/>
      <c r="U60" s="24"/>
      <c r="V60" s="24"/>
      <c r="W60" s="24"/>
      <c r="X60" s="24"/>
      <c r="Y60" s="24"/>
    </row>
    <row r="61" spans="1:25" ht="15.75" customHeight="1" x14ac:dyDescent="0.25">
      <c r="A61" s="25"/>
      <c r="B61" s="623"/>
      <c r="C61" s="623"/>
      <c r="D61" s="623"/>
      <c r="E61" s="623"/>
      <c r="F61" s="623"/>
      <c r="G61" s="623"/>
      <c r="H61" s="623"/>
      <c r="I61" s="623"/>
      <c r="J61" s="623"/>
      <c r="K61" s="623"/>
      <c r="L61" s="623"/>
      <c r="M61" s="623"/>
      <c r="N61" s="623"/>
      <c r="O61" s="623"/>
      <c r="P61" s="24"/>
      <c r="Q61" s="24"/>
      <c r="R61" s="24"/>
      <c r="S61" s="24"/>
      <c r="T61" s="24"/>
      <c r="U61" s="24"/>
      <c r="V61" s="24"/>
      <c r="W61" s="24"/>
      <c r="X61" s="24"/>
      <c r="Y61" s="24"/>
    </row>
    <row r="62" spans="1:25" ht="15.75" customHeight="1" x14ac:dyDescent="0.25">
      <c r="A62" s="25"/>
      <c r="B62" s="623"/>
      <c r="C62" s="623"/>
      <c r="D62" s="623"/>
      <c r="E62" s="623"/>
      <c r="F62" s="623"/>
      <c r="G62" s="623"/>
      <c r="H62" s="623"/>
      <c r="I62" s="623"/>
      <c r="J62" s="623"/>
      <c r="K62" s="623"/>
      <c r="L62" s="623"/>
      <c r="M62" s="623"/>
      <c r="N62" s="623"/>
      <c r="O62" s="623"/>
      <c r="P62" s="24"/>
      <c r="Q62" s="24"/>
      <c r="R62" s="24"/>
      <c r="S62" s="24"/>
      <c r="T62" s="24"/>
      <c r="U62" s="24"/>
      <c r="V62" s="24"/>
      <c r="W62" s="24"/>
      <c r="X62" s="24"/>
      <c r="Y62" s="24"/>
    </row>
    <row r="63" spans="1:25" ht="15.75" customHeight="1" x14ac:dyDescent="0.25">
      <c r="A63" s="25"/>
      <c r="B63" s="623"/>
      <c r="C63" s="623"/>
      <c r="D63" s="623"/>
      <c r="E63" s="623"/>
      <c r="F63" s="623"/>
      <c r="G63" s="623"/>
      <c r="H63" s="623"/>
      <c r="I63" s="623"/>
      <c r="J63" s="623"/>
      <c r="K63" s="623"/>
      <c r="L63" s="623"/>
      <c r="M63" s="623"/>
      <c r="N63" s="623"/>
      <c r="O63" s="623"/>
      <c r="P63" s="24"/>
      <c r="Q63" s="24"/>
      <c r="R63" s="160"/>
      <c r="S63" s="24"/>
      <c r="T63" s="24"/>
      <c r="U63" s="24"/>
      <c r="V63" s="24"/>
      <c r="W63" s="24"/>
      <c r="X63" s="24"/>
      <c r="Y63" s="24"/>
    </row>
    <row r="64" spans="1:25" ht="15.75" customHeight="1" x14ac:dyDescent="0.25">
      <c r="A64" s="25"/>
      <c r="B64" s="623"/>
      <c r="C64" s="623"/>
      <c r="D64" s="623"/>
      <c r="E64" s="623"/>
      <c r="F64" s="623"/>
      <c r="G64" s="623"/>
      <c r="H64" s="623"/>
      <c r="I64" s="623"/>
      <c r="J64" s="623"/>
      <c r="K64" s="623"/>
      <c r="L64" s="623"/>
      <c r="M64" s="623"/>
      <c r="N64" s="623"/>
      <c r="O64" s="623"/>
      <c r="P64" s="24"/>
      <c r="Q64" s="24"/>
      <c r="R64" s="24"/>
      <c r="S64" s="24"/>
      <c r="T64" s="24"/>
      <c r="U64" s="24"/>
      <c r="V64" s="24"/>
      <c r="W64" s="24"/>
      <c r="X64" s="24"/>
      <c r="Y64" s="24"/>
    </row>
    <row r="65" spans="1:25" ht="15.75" customHeight="1" x14ac:dyDescent="0.25">
      <c r="A65" s="25"/>
      <c r="B65" s="623"/>
      <c r="C65" s="623"/>
      <c r="D65" s="623"/>
      <c r="E65" s="623"/>
      <c r="F65" s="623"/>
      <c r="G65" s="623"/>
      <c r="H65" s="623"/>
      <c r="I65" s="623"/>
      <c r="J65" s="623"/>
      <c r="K65" s="623"/>
      <c r="L65" s="623"/>
      <c r="M65" s="623"/>
      <c r="N65" s="623"/>
      <c r="O65" s="623"/>
      <c r="P65" s="24"/>
      <c r="Q65" s="24"/>
      <c r="R65" s="24"/>
      <c r="S65" s="24"/>
      <c r="T65" s="24"/>
      <c r="U65" s="24"/>
      <c r="V65" s="24"/>
      <c r="W65" s="24"/>
      <c r="X65" s="24"/>
      <c r="Y65" s="24"/>
    </row>
    <row r="66" spans="1:25" ht="15.75" customHeight="1" x14ac:dyDescent="0.25">
      <c r="A66" s="25"/>
      <c r="B66" s="623"/>
      <c r="C66" s="623"/>
      <c r="D66" s="623"/>
      <c r="E66" s="623"/>
      <c r="F66" s="623"/>
      <c r="G66" s="623"/>
      <c r="H66" s="623"/>
      <c r="I66" s="623"/>
      <c r="J66" s="623"/>
      <c r="K66" s="623"/>
      <c r="L66" s="623"/>
      <c r="M66" s="623"/>
      <c r="N66" s="623"/>
      <c r="O66" s="623"/>
      <c r="P66" s="24"/>
      <c r="Q66" s="24"/>
      <c r="R66" s="24"/>
      <c r="S66" s="24"/>
      <c r="T66" s="24"/>
      <c r="U66" s="24"/>
      <c r="V66" s="24"/>
      <c r="W66" s="24"/>
      <c r="X66" s="24"/>
      <c r="Y66" s="24"/>
    </row>
    <row r="67" spans="1:25" ht="15.75" customHeight="1" x14ac:dyDescent="0.25">
      <c r="A67" s="25"/>
      <c r="B67" s="623"/>
      <c r="C67" s="623"/>
      <c r="D67" s="623"/>
      <c r="E67" s="623"/>
      <c r="F67" s="623"/>
      <c r="G67" s="623"/>
      <c r="H67" s="623"/>
      <c r="I67" s="623"/>
      <c r="J67" s="623"/>
      <c r="K67" s="623"/>
      <c r="L67" s="623"/>
      <c r="M67" s="623"/>
      <c r="N67" s="623"/>
      <c r="O67" s="623"/>
      <c r="P67" s="24"/>
      <c r="Q67" s="24"/>
      <c r="R67" s="24"/>
      <c r="S67" s="24"/>
      <c r="T67" s="24"/>
      <c r="U67" s="24"/>
      <c r="V67" s="24"/>
      <c r="W67" s="24"/>
      <c r="X67" s="24"/>
      <c r="Y67" s="24"/>
    </row>
    <row r="68" spans="1:25" ht="15.75" customHeight="1" x14ac:dyDescent="0.25">
      <c r="A68" s="25"/>
      <c r="B68" s="623"/>
      <c r="C68" s="623"/>
      <c r="D68" s="623"/>
      <c r="E68" s="623"/>
      <c r="F68" s="623"/>
      <c r="G68" s="623"/>
      <c r="H68" s="623"/>
      <c r="I68" s="623"/>
      <c r="J68" s="623"/>
      <c r="K68" s="623"/>
      <c r="L68" s="623"/>
      <c r="M68" s="623"/>
      <c r="N68" s="623"/>
      <c r="O68" s="623"/>
      <c r="P68" s="24"/>
      <c r="Q68" s="24"/>
      <c r="R68" s="24"/>
      <c r="S68" s="24"/>
      <c r="T68" s="24"/>
      <c r="U68" s="24"/>
      <c r="V68" s="24"/>
      <c r="W68" s="24"/>
      <c r="X68" s="24"/>
      <c r="Y68" s="24"/>
    </row>
    <row r="69" spans="1:25" ht="15.75" customHeight="1" x14ac:dyDescent="0.25">
      <c r="A69" s="25"/>
      <c r="B69" s="623"/>
      <c r="C69" s="623"/>
      <c r="D69" s="623"/>
      <c r="E69" s="623"/>
      <c r="F69" s="623"/>
      <c r="G69" s="623"/>
      <c r="H69" s="623"/>
      <c r="I69" s="623"/>
      <c r="J69" s="623"/>
      <c r="K69" s="623"/>
      <c r="L69" s="623"/>
      <c r="M69" s="623"/>
      <c r="N69" s="623"/>
      <c r="O69" s="623"/>
      <c r="P69" s="24"/>
      <c r="Q69" s="24"/>
      <c r="R69" s="24"/>
      <c r="S69" s="24"/>
      <c r="T69" s="24"/>
      <c r="U69" s="24"/>
      <c r="V69" s="24"/>
      <c r="W69" s="24"/>
      <c r="X69" s="24"/>
      <c r="Y69" s="24"/>
    </row>
    <row r="70" spans="1:25" ht="15.75" customHeight="1" x14ac:dyDescent="0.25">
      <c r="A70" s="25"/>
      <c r="B70" s="623"/>
      <c r="C70" s="623"/>
      <c r="D70" s="623"/>
      <c r="E70" s="623"/>
      <c r="F70" s="623"/>
      <c r="G70" s="623"/>
      <c r="H70" s="623"/>
      <c r="I70" s="623"/>
      <c r="J70" s="623"/>
      <c r="K70" s="623"/>
      <c r="L70" s="623"/>
      <c r="M70" s="623"/>
      <c r="N70" s="623"/>
      <c r="O70" s="623"/>
      <c r="P70" s="24"/>
      <c r="Q70" s="24"/>
      <c r="R70" s="24"/>
      <c r="S70" s="24"/>
      <c r="T70" s="24"/>
      <c r="U70" s="24"/>
      <c r="V70" s="24"/>
      <c r="W70" s="24"/>
      <c r="X70" s="24"/>
      <c r="Y70" s="24"/>
    </row>
    <row r="71" spans="1:25" ht="15.75" customHeight="1" x14ac:dyDescent="0.25">
      <c r="A71" s="25"/>
      <c r="B71" s="623"/>
      <c r="C71" s="623"/>
      <c r="D71" s="623"/>
      <c r="E71" s="623"/>
      <c r="F71" s="623"/>
      <c r="G71" s="623"/>
      <c r="H71" s="623"/>
      <c r="I71" s="623"/>
      <c r="J71" s="623"/>
      <c r="K71" s="623"/>
      <c r="L71" s="623"/>
      <c r="M71" s="623"/>
      <c r="N71" s="623"/>
      <c r="O71" s="623"/>
      <c r="P71" s="24"/>
      <c r="Q71" s="24"/>
      <c r="R71" s="24"/>
      <c r="S71" s="24"/>
      <c r="T71" s="24"/>
      <c r="U71" s="24"/>
      <c r="V71" s="24"/>
      <c r="W71" s="24"/>
      <c r="X71" s="24"/>
      <c r="Y71" s="24"/>
    </row>
    <row r="72" spans="1:25" ht="15.75" customHeight="1" x14ac:dyDescent="0.25">
      <c r="A72" s="25"/>
      <c r="B72" s="623"/>
      <c r="C72" s="623"/>
      <c r="D72" s="623"/>
      <c r="E72" s="623"/>
      <c r="F72" s="623"/>
      <c r="G72" s="623"/>
      <c r="H72" s="623"/>
      <c r="I72" s="623"/>
      <c r="J72" s="623"/>
      <c r="K72" s="623"/>
      <c r="L72" s="623"/>
      <c r="M72" s="623"/>
      <c r="N72" s="623"/>
      <c r="O72" s="623"/>
      <c r="P72" s="24"/>
      <c r="Q72" s="24"/>
      <c r="R72" s="24"/>
      <c r="S72" s="24"/>
      <c r="T72" s="24"/>
      <c r="U72" s="24"/>
      <c r="V72" s="24"/>
      <c r="W72" s="24"/>
      <c r="X72" s="24"/>
      <c r="Y72" s="24"/>
    </row>
    <row r="73" spans="1:25" ht="15.75" customHeight="1" x14ac:dyDescent="0.25">
      <c r="A73" s="25"/>
      <c r="B73" s="623"/>
      <c r="C73" s="623"/>
      <c r="D73" s="623"/>
      <c r="E73" s="623"/>
      <c r="F73" s="623"/>
      <c r="G73" s="623"/>
      <c r="H73" s="623"/>
      <c r="I73" s="623"/>
      <c r="J73" s="623"/>
      <c r="K73" s="623"/>
      <c r="L73" s="623"/>
      <c r="M73" s="623"/>
      <c r="N73" s="623"/>
      <c r="O73" s="623"/>
      <c r="P73" s="24"/>
      <c r="Q73" s="24"/>
      <c r="R73" s="24"/>
      <c r="S73" s="24"/>
      <c r="T73" s="24"/>
      <c r="U73" s="24"/>
      <c r="V73" s="24"/>
      <c r="W73" s="24"/>
      <c r="X73" s="24"/>
      <c r="Y73" s="24"/>
    </row>
    <row r="74" spans="1:25" ht="15.75" customHeight="1" x14ac:dyDescent="0.25">
      <c r="A74" s="25"/>
      <c r="B74" s="623"/>
      <c r="C74" s="623"/>
      <c r="D74" s="623"/>
      <c r="E74" s="623"/>
      <c r="F74" s="623"/>
      <c r="G74" s="623"/>
      <c r="H74" s="623"/>
      <c r="I74" s="623"/>
      <c r="J74" s="623"/>
      <c r="K74" s="623"/>
      <c r="L74" s="623"/>
      <c r="M74" s="623"/>
      <c r="N74" s="623"/>
      <c r="O74" s="623"/>
      <c r="P74" s="24"/>
      <c r="Q74" s="24"/>
      <c r="R74" s="24"/>
      <c r="S74" s="24"/>
      <c r="T74" s="24"/>
      <c r="U74" s="24"/>
      <c r="V74" s="24"/>
      <c r="W74" s="24"/>
      <c r="X74" s="24"/>
      <c r="Y74" s="24"/>
    </row>
    <row r="75" spans="1:25" ht="15.75" customHeight="1" x14ac:dyDescent="0.25">
      <c r="A75" s="25"/>
      <c r="B75" s="623"/>
      <c r="C75" s="623"/>
      <c r="D75" s="623"/>
      <c r="E75" s="623"/>
      <c r="F75" s="623"/>
      <c r="G75" s="623"/>
      <c r="H75" s="623"/>
      <c r="I75" s="623"/>
      <c r="J75" s="623"/>
      <c r="K75" s="623"/>
      <c r="L75" s="623"/>
      <c r="M75" s="623"/>
      <c r="N75" s="623"/>
      <c r="O75" s="623"/>
      <c r="P75" s="24"/>
      <c r="Q75" s="24"/>
      <c r="R75" s="24"/>
      <c r="S75" s="24"/>
      <c r="T75" s="24"/>
      <c r="U75" s="24"/>
      <c r="V75" s="24"/>
      <c r="W75" s="24"/>
      <c r="X75" s="24"/>
      <c r="Y75" s="24"/>
    </row>
    <row r="76" spans="1:25" ht="15.75" customHeight="1" x14ac:dyDescent="0.25">
      <c r="A76" s="25"/>
      <c r="B76" s="623"/>
      <c r="C76" s="623"/>
      <c r="D76" s="623"/>
      <c r="E76" s="623"/>
      <c r="F76" s="623"/>
      <c r="G76" s="623"/>
      <c r="H76" s="623"/>
      <c r="I76" s="623"/>
      <c r="J76" s="623"/>
      <c r="K76" s="623"/>
      <c r="L76" s="623"/>
      <c r="M76" s="623"/>
      <c r="N76" s="623"/>
      <c r="O76" s="623"/>
      <c r="P76" s="24"/>
      <c r="Q76" s="24"/>
      <c r="R76" s="24"/>
      <c r="S76" s="24"/>
      <c r="T76" s="24"/>
      <c r="U76" s="24"/>
      <c r="V76" s="24"/>
      <c r="W76" s="24"/>
      <c r="X76" s="24"/>
      <c r="Y76" s="24"/>
    </row>
    <row r="77" spans="1:25" ht="15.75" customHeight="1" x14ac:dyDescent="0.25">
      <c r="A77" s="25"/>
      <c r="B77" s="623"/>
      <c r="C77" s="623"/>
      <c r="D77" s="623"/>
      <c r="E77" s="623"/>
      <c r="F77" s="623"/>
      <c r="G77" s="623"/>
      <c r="H77" s="623"/>
      <c r="I77" s="623"/>
      <c r="J77" s="623"/>
      <c r="K77" s="623"/>
      <c r="L77" s="623"/>
      <c r="M77" s="623"/>
      <c r="N77" s="623"/>
      <c r="O77" s="623"/>
      <c r="P77" s="24"/>
      <c r="Q77" s="24"/>
      <c r="R77" s="24"/>
      <c r="S77" s="24"/>
      <c r="T77" s="24"/>
      <c r="U77" s="24"/>
      <c r="V77" s="24"/>
      <c r="W77" s="24"/>
      <c r="X77" s="24"/>
      <c r="Y77" s="24"/>
    </row>
    <row r="78" spans="1:25" ht="15.75" customHeight="1" x14ac:dyDescent="0.25">
      <c r="A78" s="25"/>
      <c r="B78" s="623"/>
      <c r="C78" s="623"/>
      <c r="D78" s="623"/>
      <c r="E78" s="623"/>
      <c r="F78" s="623"/>
      <c r="G78" s="623"/>
      <c r="H78" s="623"/>
      <c r="I78" s="623"/>
      <c r="J78" s="623"/>
      <c r="K78" s="623"/>
      <c r="L78" s="623"/>
      <c r="M78" s="623"/>
      <c r="N78" s="623"/>
      <c r="O78" s="623"/>
      <c r="P78" s="24"/>
      <c r="Q78" s="24"/>
      <c r="R78" s="24"/>
      <c r="S78" s="24"/>
      <c r="T78" s="24"/>
      <c r="U78" s="24"/>
      <c r="V78" s="24"/>
      <c r="W78" s="24"/>
      <c r="X78" s="24"/>
      <c r="Y78" s="24"/>
    </row>
    <row r="79" spans="1:25" ht="15.75" customHeight="1" x14ac:dyDescent="0.25">
      <c r="A79" s="25"/>
      <c r="B79" s="623"/>
      <c r="C79" s="623"/>
      <c r="D79" s="623"/>
      <c r="E79" s="623"/>
      <c r="F79" s="623"/>
      <c r="G79" s="623"/>
      <c r="H79" s="623"/>
      <c r="I79" s="623"/>
      <c r="J79" s="623"/>
      <c r="K79" s="623"/>
      <c r="L79" s="623"/>
      <c r="M79" s="623"/>
      <c r="N79" s="623"/>
      <c r="O79" s="623"/>
      <c r="P79" s="24"/>
      <c r="Q79" s="24"/>
      <c r="R79" s="24"/>
      <c r="S79" s="24"/>
      <c r="T79" s="24"/>
      <c r="U79" s="24"/>
      <c r="V79" s="24"/>
      <c r="W79" s="24"/>
      <c r="X79" s="24"/>
      <c r="Y79" s="24"/>
    </row>
    <row r="80" spans="1:25" ht="15.75" customHeight="1" x14ac:dyDescent="0.25">
      <c r="A80" s="25"/>
      <c r="B80" s="623"/>
      <c r="C80" s="623"/>
      <c r="D80" s="623"/>
      <c r="E80" s="623"/>
      <c r="F80" s="623"/>
      <c r="G80" s="623"/>
      <c r="H80" s="623"/>
      <c r="I80" s="623"/>
      <c r="J80" s="623"/>
      <c r="K80" s="623"/>
      <c r="L80" s="623"/>
      <c r="M80" s="623"/>
      <c r="N80" s="623"/>
      <c r="O80" s="623"/>
      <c r="P80" s="24"/>
      <c r="Q80" s="24"/>
      <c r="R80" s="24"/>
      <c r="S80" s="24"/>
      <c r="T80" s="24"/>
      <c r="U80" s="24"/>
      <c r="V80" s="24"/>
      <c r="W80" s="24"/>
      <c r="X80" s="24"/>
      <c r="Y80" s="24"/>
    </row>
    <row r="81" spans="1:25" ht="15.75" customHeight="1" x14ac:dyDescent="0.25">
      <c r="A81" s="25"/>
      <c r="B81" s="623"/>
      <c r="C81" s="623"/>
      <c r="D81" s="623"/>
      <c r="E81" s="623"/>
      <c r="F81" s="623"/>
      <c r="G81" s="623"/>
      <c r="H81" s="623"/>
      <c r="I81" s="623"/>
      <c r="J81" s="623"/>
      <c r="K81" s="623"/>
      <c r="L81" s="623"/>
      <c r="M81" s="623"/>
      <c r="N81" s="623"/>
      <c r="O81" s="623"/>
      <c r="P81" s="24"/>
      <c r="Q81" s="24"/>
      <c r="R81" s="24"/>
      <c r="S81" s="24"/>
      <c r="T81" s="24"/>
      <c r="U81" s="24"/>
      <c r="V81" s="24"/>
      <c r="W81" s="24"/>
      <c r="X81" s="24"/>
      <c r="Y81" s="24"/>
    </row>
    <row r="82" spans="1:25" ht="15.75" customHeight="1" x14ac:dyDescent="0.25">
      <c r="A82" s="25"/>
      <c r="B82" s="623"/>
      <c r="C82" s="623"/>
      <c r="D82" s="623"/>
      <c r="E82" s="623"/>
      <c r="F82" s="623"/>
      <c r="G82" s="623"/>
      <c r="H82" s="623"/>
      <c r="I82" s="623"/>
      <c r="J82" s="623"/>
      <c r="K82" s="623"/>
      <c r="L82" s="623"/>
      <c r="M82" s="623"/>
      <c r="N82" s="623"/>
      <c r="O82" s="623"/>
      <c r="P82" s="24"/>
      <c r="Q82" s="24"/>
      <c r="R82" s="24"/>
      <c r="S82" s="24"/>
      <c r="T82" s="24"/>
      <c r="U82" s="24"/>
      <c r="V82" s="24"/>
      <c r="W82" s="24"/>
      <c r="X82" s="24"/>
      <c r="Y82" s="24"/>
    </row>
    <row r="83" spans="1:25" ht="15.75" customHeight="1" x14ac:dyDescent="0.25">
      <c r="A83" s="25"/>
      <c r="B83" s="623"/>
      <c r="C83" s="623"/>
      <c r="D83" s="623"/>
      <c r="E83" s="623"/>
      <c r="F83" s="623"/>
      <c r="G83" s="623"/>
      <c r="H83" s="623"/>
      <c r="I83" s="623"/>
      <c r="J83" s="623"/>
      <c r="K83" s="623"/>
      <c r="L83" s="623"/>
      <c r="M83" s="623"/>
      <c r="N83" s="623"/>
      <c r="O83" s="623"/>
      <c r="P83" s="24"/>
      <c r="Q83" s="24"/>
      <c r="R83" s="24"/>
      <c r="S83" s="24"/>
      <c r="T83" s="24"/>
      <c r="U83" s="24"/>
      <c r="V83" s="24"/>
      <c r="W83" s="24"/>
      <c r="X83" s="24"/>
      <c r="Y83" s="24"/>
    </row>
    <row r="84" spans="1:25" ht="15.75" customHeight="1" x14ac:dyDescent="0.25">
      <c r="A84" s="25"/>
      <c r="B84" s="623"/>
      <c r="C84" s="623"/>
      <c r="D84" s="623"/>
      <c r="E84" s="623"/>
      <c r="F84" s="623"/>
      <c r="G84" s="623"/>
      <c r="H84" s="623"/>
      <c r="I84" s="623"/>
      <c r="J84" s="623"/>
      <c r="K84" s="623"/>
      <c r="L84" s="623"/>
      <c r="M84" s="623"/>
      <c r="N84" s="623"/>
      <c r="O84" s="623"/>
      <c r="P84" s="24"/>
      <c r="Q84" s="24"/>
      <c r="R84" s="24"/>
      <c r="S84" s="24"/>
      <c r="T84" s="24"/>
      <c r="U84" s="24"/>
      <c r="V84" s="24"/>
      <c r="W84" s="24"/>
      <c r="X84" s="24"/>
      <c r="Y84" s="24"/>
    </row>
    <row r="85" spans="1:25" ht="15.75" customHeight="1" x14ac:dyDescent="0.25">
      <c r="A85" s="25"/>
      <c r="B85" s="623"/>
      <c r="C85" s="623"/>
      <c r="D85" s="623"/>
      <c r="E85" s="623"/>
      <c r="F85" s="623"/>
      <c r="G85" s="623"/>
      <c r="H85" s="623"/>
      <c r="I85" s="623"/>
      <c r="J85" s="623"/>
      <c r="K85" s="623"/>
      <c r="L85" s="623"/>
      <c r="M85" s="623"/>
      <c r="N85" s="623"/>
      <c r="O85" s="623"/>
      <c r="P85" s="24"/>
      <c r="Q85" s="24"/>
      <c r="R85" s="24"/>
      <c r="S85" s="24"/>
      <c r="T85" s="24"/>
      <c r="U85" s="24"/>
      <c r="V85" s="24"/>
      <c r="W85" s="24"/>
      <c r="X85" s="24"/>
      <c r="Y85" s="24"/>
    </row>
    <row r="86" spans="1:25" ht="15.75" customHeight="1" x14ac:dyDescent="0.25">
      <c r="A86" s="25"/>
      <c r="B86" s="623"/>
      <c r="C86" s="623"/>
      <c r="D86" s="623"/>
      <c r="E86" s="623"/>
      <c r="F86" s="623"/>
      <c r="G86" s="623"/>
      <c r="H86" s="623"/>
      <c r="I86" s="623"/>
      <c r="J86" s="623"/>
      <c r="K86" s="623"/>
      <c r="L86" s="623"/>
      <c r="M86" s="623"/>
      <c r="N86" s="623"/>
      <c r="O86" s="623"/>
      <c r="P86" s="24"/>
      <c r="Q86" s="24"/>
      <c r="R86" s="24"/>
      <c r="S86" s="24"/>
      <c r="T86" s="24"/>
      <c r="U86" s="24"/>
      <c r="V86" s="24"/>
      <c r="W86" s="24"/>
      <c r="X86" s="24"/>
      <c r="Y86" s="24"/>
    </row>
    <row r="87" spans="1:25" ht="15.75" customHeight="1" x14ac:dyDescent="0.25">
      <c r="A87" s="25"/>
      <c r="B87" s="623"/>
      <c r="C87" s="623"/>
      <c r="D87" s="623"/>
      <c r="E87" s="623"/>
      <c r="F87" s="623"/>
      <c r="G87" s="623"/>
      <c r="H87" s="623"/>
      <c r="I87" s="623"/>
      <c r="J87" s="623"/>
      <c r="K87" s="623"/>
      <c r="L87" s="623"/>
      <c r="M87" s="623"/>
      <c r="N87" s="623"/>
      <c r="O87" s="623"/>
      <c r="P87" s="24"/>
      <c r="Q87" s="24"/>
      <c r="R87" s="24"/>
      <c r="S87" s="24"/>
      <c r="T87" s="24"/>
      <c r="U87" s="24"/>
      <c r="V87" s="24"/>
      <c r="W87" s="24"/>
      <c r="X87" s="24"/>
      <c r="Y87" s="24"/>
    </row>
    <row r="88" spans="1:25" ht="15.75" customHeight="1" x14ac:dyDescent="0.25">
      <c r="A88" s="25"/>
      <c r="B88" s="623"/>
      <c r="C88" s="623"/>
      <c r="D88" s="623"/>
      <c r="E88" s="623"/>
      <c r="F88" s="623"/>
      <c r="G88" s="623"/>
      <c r="H88" s="623"/>
      <c r="I88" s="623"/>
      <c r="J88" s="623"/>
      <c r="K88" s="623"/>
      <c r="L88" s="623"/>
      <c r="M88" s="623"/>
      <c r="N88" s="623"/>
      <c r="O88" s="623"/>
      <c r="P88" s="24"/>
      <c r="Q88" s="24"/>
      <c r="R88" s="24"/>
      <c r="S88" s="24"/>
      <c r="T88" s="24"/>
      <c r="U88" s="24"/>
      <c r="V88" s="24"/>
      <c r="W88" s="24"/>
      <c r="X88" s="24"/>
      <c r="Y88" s="24"/>
    </row>
    <row r="89" spans="1:25" ht="15.75" customHeight="1" x14ac:dyDescent="0.25">
      <c r="A89" s="25"/>
      <c r="B89" s="623"/>
      <c r="C89" s="623"/>
      <c r="D89" s="623"/>
      <c r="E89" s="623"/>
      <c r="F89" s="623"/>
      <c r="G89" s="623"/>
      <c r="H89" s="623"/>
      <c r="I89" s="623"/>
      <c r="J89" s="623"/>
      <c r="K89" s="623"/>
      <c r="L89" s="623"/>
      <c r="M89" s="623"/>
      <c r="N89" s="623"/>
      <c r="O89" s="623"/>
      <c r="P89" s="24"/>
      <c r="Q89" s="24"/>
      <c r="R89" s="24"/>
      <c r="S89" s="24"/>
      <c r="T89" s="24"/>
      <c r="U89" s="24"/>
      <c r="V89" s="24"/>
      <c r="W89" s="24"/>
      <c r="X89" s="24"/>
      <c r="Y89" s="24"/>
    </row>
    <row r="90" spans="1:25" ht="15.75" customHeight="1" x14ac:dyDescent="0.25">
      <c r="A90" s="25"/>
      <c r="B90" s="623"/>
      <c r="C90" s="623"/>
      <c r="D90" s="623"/>
      <c r="E90" s="623"/>
      <c r="F90" s="623"/>
      <c r="G90" s="623"/>
      <c r="H90" s="623"/>
      <c r="I90" s="623"/>
      <c r="J90" s="623"/>
      <c r="K90" s="623"/>
      <c r="L90" s="623"/>
      <c r="M90" s="623"/>
      <c r="N90" s="623"/>
      <c r="O90" s="623"/>
      <c r="P90" s="24"/>
      <c r="Q90" s="24"/>
      <c r="R90" s="24"/>
      <c r="S90" s="24"/>
      <c r="T90" s="24"/>
      <c r="U90" s="24"/>
      <c r="V90" s="24"/>
      <c r="W90" s="24"/>
      <c r="X90" s="24"/>
      <c r="Y90" s="24"/>
    </row>
    <row r="91" spans="1:25" ht="15.75" customHeight="1" x14ac:dyDescent="0.25">
      <c r="A91" s="25"/>
      <c r="B91" s="623"/>
      <c r="C91" s="623"/>
      <c r="D91" s="623"/>
      <c r="E91" s="623"/>
      <c r="F91" s="623"/>
      <c r="G91" s="623"/>
      <c r="H91" s="623"/>
      <c r="I91" s="623"/>
      <c r="J91" s="623"/>
      <c r="K91" s="623"/>
      <c r="L91" s="623"/>
      <c r="M91" s="623"/>
      <c r="N91" s="623"/>
      <c r="O91" s="623"/>
      <c r="P91" s="24"/>
      <c r="Q91" s="24"/>
      <c r="R91" s="24"/>
      <c r="S91" s="24"/>
      <c r="T91" s="24"/>
      <c r="U91" s="24"/>
      <c r="V91" s="24"/>
      <c r="W91" s="24"/>
      <c r="X91" s="24"/>
      <c r="Y91" s="24"/>
    </row>
    <row r="92" spans="1:25" ht="15.75" customHeight="1" x14ac:dyDescent="0.25">
      <c r="A92" s="25"/>
      <c r="B92" s="623"/>
      <c r="C92" s="623"/>
      <c r="D92" s="623"/>
      <c r="E92" s="623"/>
      <c r="F92" s="623"/>
      <c r="G92" s="623"/>
      <c r="H92" s="623"/>
      <c r="I92" s="623"/>
      <c r="J92" s="623"/>
      <c r="K92" s="623"/>
      <c r="L92" s="623"/>
      <c r="M92" s="623"/>
      <c r="N92" s="623"/>
      <c r="O92" s="623"/>
      <c r="P92" s="24"/>
      <c r="Q92" s="24"/>
      <c r="R92" s="24"/>
      <c r="S92" s="24"/>
      <c r="T92" s="24"/>
      <c r="U92" s="24"/>
      <c r="V92" s="24"/>
      <c r="W92" s="24"/>
      <c r="X92" s="24"/>
      <c r="Y92" s="24"/>
    </row>
    <row r="93" spans="1:25" ht="15.75" customHeight="1" x14ac:dyDescent="0.25">
      <c r="A93" s="25"/>
      <c r="B93" s="623"/>
      <c r="C93" s="623"/>
      <c r="D93" s="623"/>
      <c r="E93" s="623"/>
      <c r="F93" s="623"/>
      <c r="G93" s="623"/>
      <c r="H93" s="623"/>
      <c r="I93" s="623"/>
      <c r="J93" s="623"/>
      <c r="K93" s="623"/>
      <c r="L93" s="623"/>
      <c r="M93" s="623"/>
      <c r="N93" s="623"/>
      <c r="O93" s="623"/>
      <c r="P93" s="24"/>
      <c r="Q93" s="24"/>
      <c r="R93" s="24"/>
      <c r="S93" s="24"/>
      <c r="T93" s="24"/>
      <c r="U93" s="24"/>
      <c r="V93" s="24"/>
      <c r="W93" s="24"/>
      <c r="X93" s="24"/>
      <c r="Y93" s="24"/>
    </row>
    <row r="94" spans="1:25" ht="15.75" customHeight="1" x14ac:dyDescent="0.25">
      <c r="A94" s="25"/>
      <c r="B94" s="623"/>
      <c r="C94" s="623"/>
      <c r="D94" s="623"/>
      <c r="E94" s="623"/>
      <c r="F94" s="623"/>
      <c r="G94" s="623"/>
      <c r="H94" s="623"/>
      <c r="I94" s="623"/>
      <c r="J94" s="623"/>
      <c r="K94" s="623"/>
      <c r="L94" s="623"/>
      <c r="M94" s="623"/>
      <c r="N94" s="623"/>
      <c r="O94" s="623"/>
      <c r="P94" s="24"/>
      <c r="Q94" s="24"/>
      <c r="R94" s="24"/>
      <c r="S94" s="24"/>
      <c r="T94" s="24"/>
      <c r="U94" s="24"/>
      <c r="V94" s="24"/>
      <c r="W94" s="24"/>
      <c r="X94" s="24"/>
      <c r="Y94" s="24"/>
    </row>
    <row r="95" spans="1:25" ht="15.75" customHeight="1" x14ac:dyDescent="0.25">
      <c r="A95" s="25"/>
      <c r="B95" s="623"/>
      <c r="C95" s="623"/>
      <c r="D95" s="623"/>
      <c r="E95" s="623"/>
      <c r="F95" s="623"/>
      <c r="G95" s="623"/>
      <c r="H95" s="623"/>
      <c r="I95" s="623"/>
      <c r="J95" s="623"/>
      <c r="K95" s="623"/>
      <c r="L95" s="623"/>
      <c r="M95" s="623"/>
      <c r="N95" s="623"/>
      <c r="O95" s="623"/>
      <c r="P95" s="24"/>
      <c r="Q95" s="24"/>
      <c r="R95" s="24"/>
      <c r="S95" s="24"/>
      <c r="T95" s="24"/>
      <c r="U95" s="24"/>
      <c r="V95" s="24"/>
      <c r="W95" s="24"/>
      <c r="X95" s="24"/>
      <c r="Y95" s="24"/>
    </row>
    <row r="96" spans="1:25" ht="15.75" customHeight="1" x14ac:dyDescent="0.25">
      <c r="A96" s="25"/>
      <c r="B96" s="623"/>
      <c r="C96" s="623"/>
      <c r="D96" s="623"/>
      <c r="E96" s="623"/>
      <c r="F96" s="623"/>
      <c r="G96" s="623"/>
      <c r="H96" s="623"/>
      <c r="I96" s="623"/>
      <c r="J96" s="623"/>
      <c r="K96" s="623"/>
      <c r="L96" s="623"/>
      <c r="M96" s="623"/>
      <c r="N96" s="623"/>
      <c r="O96" s="623"/>
      <c r="P96" s="24"/>
      <c r="Q96" s="24"/>
      <c r="R96" s="24"/>
      <c r="S96" s="24"/>
      <c r="T96" s="24"/>
      <c r="U96" s="24"/>
      <c r="V96" s="24"/>
      <c r="W96" s="24"/>
      <c r="X96" s="24"/>
      <c r="Y96" s="24"/>
    </row>
    <row r="97" spans="1:25" ht="15.75" customHeight="1" x14ac:dyDescent="0.25">
      <c r="A97" s="25"/>
      <c r="B97" s="623"/>
      <c r="C97" s="623"/>
      <c r="D97" s="623"/>
      <c r="E97" s="623"/>
      <c r="F97" s="623"/>
      <c r="G97" s="623"/>
      <c r="H97" s="623"/>
      <c r="I97" s="623"/>
      <c r="J97" s="623"/>
      <c r="K97" s="623"/>
      <c r="L97" s="623"/>
      <c r="M97" s="623"/>
      <c r="N97" s="623"/>
      <c r="O97" s="623"/>
      <c r="P97" s="24"/>
      <c r="Q97" s="24"/>
      <c r="R97" s="24"/>
      <c r="S97" s="24"/>
      <c r="T97" s="24"/>
      <c r="U97" s="24"/>
      <c r="V97" s="24"/>
      <c r="W97" s="24"/>
      <c r="X97" s="24"/>
      <c r="Y97" s="24"/>
    </row>
    <row r="98" spans="1:25" ht="15.75" customHeight="1" x14ac:dyDescent="0.25">
      <c r="A98" s="25"/>
      <c r="B98" s="623"/>
      <c r="C98" s="623"/>
      <c r="D98" s="623"/>
      <c r="E98" s="623"/>
      <c r="F98" s="623"/>
      <c r="G98" s="623"/>
      <c r="H98" s="623"/>
      <c r="I98" s="623"/>
      <c r="J98" s="623"/>
      <c r="K98" s="623"/>
      <c r="L98" s="623"/>
      <c r="M98" s="623"/>
      <c r="N98" s="623"/>
      <c r="O98" s="623"/>
      <c r="P98" s="24"/>
      <c r="Q98" s="24"/>
      <c r="R98" s="24"/>
      <c r="S98" s="24"/>
      <c r="T98" s="24"/>
      <c r="U98" s="24"/>
      <c r="V98" s="24"/>
      <c r="W98" s="24"/>
      <c r="X98" s="24"/>
      <c r="Y98" s="24"/>
    </row>
    <row r="99" spans="1:25" ht="15.75" customHeight="1" x14ac:dyDescent="0.25">
      <c r="A99" s="25"/>
      <c r="B99" s="623"/>
      <c r="C99" s="623"/>
      <c r="D99" s="623"/>
      <c r="E99" s="623"/>
      <c r="F99" s="623"/>
      <c r="G99" s="623"/>
      <c r="H99" s="623"/>
      <c r="I99" s="623"/>
      <c r="J99" s="623"/>
      <c r="K99" s="623"/>
      <c r="L99" s="623"/>
      <c r="M99" s="623"/>
      <c r="N99" s="623"/>
      <c r="O99" s="623"/>
      <c r="P99" s="24"/>
      <c r="Q99" s="24"/>
      <c r="R99" s="24"/>
      <c r="S99" s="24"/>
      <c r="T99" s="24"/>
      <c r="U99" s="24"/>
      <c r="V99" s="24"/>
      <c r="W99" s="24"/>
      <c r="X99" s="24"/>
      <c r="Y99" s="24"/>
    </row>
    <row r="100" spans="1:25" ht="15.75" customHeight="1" x14ac:dyDescent="0.25">
      <c r="A100" s="25"/>
      <c r="B100" s="623"/>
      <c r="C100" s="623"/>
      <c r="D100" s="623"/>
      <c r="E100" s="623"/>
      <c r="F100" s="623"/>
      <c r="G100" s="623"/>
      <c r="H100" s="623"/>
      <c r="I100" s="623"/>
      <c r="J100" s="623"/>
      <c r="K100" s="623"/>
      <c r="L100" s="623"/>
      <c r="M100" s="623"/>
      <c r="N100" s="623"/>
      <c r="O100" s="623"/>
      <c r="P100" s="24"/>
      <c r="Q100" s="24"/>
      <c r="R100" s="24"/>
      <c r="S100" s="24"/>
      <c r="T100" s="24"/>
      <c r="U100" s="24"/>
      <c r="V100" s="24"/>
      <c r="W100" s="24"/>
      <c r="X100" s="24"/>
      <c r="Y100" s="24"/>
    </row>
    <row r="101" spans="1:25" ht="15.75" customHeight="1" x14ac:dyDescent="0.25">
      <c r="A101" s="25"/>
      <c r="B101" s="623"/>
      <c r="C101" s="623"/>
      <c r="D101" s="623"/>
      <c r="E101" s="623"/>
      <c r="F101" s="623"/>
      <c r="G101" s="623"/>
      <c r="H101" s="623"/>
      <c r="I101" s="623"/>
      <c r="J101" s="623"/>
      <c r="K101" s="623"/>
      <c r="L101" s="623"/>
      <c r="M101" s="623"/>
      <c r="N101" s="623"/>
      <c r="O101" s="623"/>
      <c r="P101" s="24"/>
      <c r="Q101" s="24"/>
      <c r="R101" s="24"/>
      <c r="S101" s="24"/>
      <c r="T101" s="24"/>
      <c r="U101" s="24"/>
      <c r="V101" s="24"/>
      <c r="W101" s="24"/>
      <c r="X101" s="24"/>
      <c r="Y101" s="24"/>
    </row>
    <row r="102" spans="1:25" ht="15.75" customHeight="1" x14ac:dyDescent="0.25">
      <c r="A102" s="25"/>
      <c r="B102" s="623"/>
      <c r="C102" s="623"/>
      <c r="D102" s="623"/>
      <c r="E102" s="623"/>
      <c r="F102" s="623"/>
      <c r="G102" s="623"/>
      <c r="H102" s="623"/>
      <c r="I102" s="623"/>
      <c r="J102" s="623"/>
      <c r="K102" s="623"/>
      <c r="L102" s="623"/>
      <c r="M102" s="623"/>
      <c r="N102" s="623"/>
      <c r="O102" s="623"/>
      <c r="P102" s="24"/>
      <c r="Q102" s="24"/>
      <c r="R102" s="24"/>
      <c r="S102" s="24"/>
      <c r="T102" s="24"/>
      <c r="U102" s="24"/>
      <c r="V102" s="24"/>
      <c r="W102" s="24"/>
      <c r="X102" s="24"/>
      <c r="Y102" s="24"/>
    </row>
    <row r="103" spans="1:25" ht="15.75" customHeight="1" x14ac:dyDescent="0.25">
      <c r="A103" s="25"/>
      <c r="B103" s="623"/>
      <c r="C103" s="623"/>
      <c r="D103" s="623"/>
      <c r="E103" s="623"/>
      <c r="F103" s="623"/>
      <c r="G103" s="623"/>
      <c r="H103" s="623"/>
      <c r="I103" s="623"/>
      <c r="J103" s="623"/>
      <c r="K103" s="623"/>
      <c r="L103" s="623"/>
      <c r="M103" s="623"/>
      <c r="N103" s="623"/>
      <c r="O103" s="623"/>
      <c r="P103" s="24"/>
      <c r="Q103" s="24"/>
      <c r="R103" s="24"/>
      <c r="S103" s="24"/>
      <c r="T103" s="24"/>
      <c r="U103" s="24"/>
      <c r="V103" s="24"/>
      <c r="W103" s="24"/>
      <c r="X103" s="24"/>
      <c r="Y103" s="24"/>
    </row>
    <row r="104" spans="1:25" ht="15.75" customHeight="1" x14ac:dyDescent="0.25">
      <c r="A104" s="25"/>
      <c r="B104" s="623"/>
      <c r="C104" s="623"/>
      <c r="D104" s="623"/>
      <c r="E104" s="623"/>
      <c r="F104" s="623"/>
      <c r="G104" s="623"/>
      <c r="H104" s="623"/>
      <c r="I104" s="623"/>
      <c r="J104" s="623"/>
      <c r="K104" s="623"/>
      <c r="L104" s="623"/>
      <c r="M104" s="623"/>
      <c r="N104" s="623"/>
      <c r="O104" s="623"/>
      <c r="P104" s="24"/>
      <c r="Q104" s="24"/>
      <c r="R104" s="24"/>
      <c r="S104" s="24"/>
      <c r="T104" s="24"/>
      <c r="U104" s="24"/>
      <c r="V104" s="24"/>
      <c r="W104" s="24"/>
      <c r="X104" s="24"/>
      <c r="Y104" s="24"/>
    </row>
    <row r="105" spans="1:25" ht="15.75" customHeight="1" x14ac:dyDescent="0.25">
      <c r="A105" s="25"/>
      <c r="B105" s="623"/>
      <c r="C105" s="623"/>
      <c r="D105" s="623"/>
      <c r="E105" s="623"/>
      <c r="F105" s="623"/>
      <c r="G105" s="623"/>
      <c r="H105" s="623"/>
      <c r="I105" s="623"/>
      <c r="J105" s="623"/>
      <c r="K105" s="623"/>
      <c r="L105" s="623"/>
      <c r="M105" s="623"/>
      <c r="N105" s="623"/>
      <c r="O105" s="623"/>
      <c r="P105" s="24"/>
      <c r="Q105" s="24"/>
      <c r="R105" s="24"/>
      <c r="S105" s="24"/>
      <c r="T105" s="24"/>
      <c r="U105" s="24"/>
      <c r="V105" s="24"/>
      <c r="W105" s="24"/>
      <c r="X105" s="24"/>
      <c r="Y105" s="24"/>
    </row>
    <row r="106" spans="1:25" ht="15.75" customHeight="1" x14ac:dyDescent="0.25">
      <c r="A106" s="25"/>
      <c r="B106" s="623"/>
      <c r="C106" s="623"/>
      <c r="D106" s="623"/>
      <c r="E106" s="623"/>
      <c r="F106" s="623"/>
      <c r="G106" s="623"/>
      <c r="H106" s="623"/>
      <c r="I106" s="623"/>
      <c r="J106" s="623"/>
      <c r="K106" s="623"/>
      <c r="L106" s="623"/>
      <c r="M106" s="623"/>
      <c r="N106" s="623"/>
      <c r="O106" s="623"/>
      <c r="P106" s="24"/>
      <c r="Q106" s="24"/>
      <c r="R106" s="24"/>
      <c r="S106" s="24"/>
      <c r="T106" s="24"/>
      <c r="U106" s="24"/>
      <c r="V106" s="24"/>
      <c r="W106" s="24"/>
      <c r="X106" s="24"/>
      <c r="Y106" s="24"/>
    </row>
    <row r="107" spans="1:25" ht="15.75" customHeight="1" x14ac:dyDescent="0.25">
      <c r="A107" s="25"/>
      <c r="B107" s="623"/>
      <c r="C107" s="623"/>
      <c r="D107" s="623"/>
      <c r="E107" s="623"/>
      <c r="F107" s="623"/>
      <c r="G107" s="623"/>
      <c r="H107" s="623"/>
      <c r="I107" s="623"/>
      <c r="J107" s="623"/>
      <c r="K107" s="623"/>
      <c r="L107" s="623"/>
      <c r="M107" s="623"/>
      <c r="N107" s="623"/>
      <c r="O107" s="623"/>
      <c r="P107" s="24"/>
      <c r="Q107" s="24"/>
      <c r="R107" s="24"/>
      <c r="S107" s="24"/>
      <c r="T107" s="24"/>
      <c r="U107" s="24"/>
      <c r="V107" s="24"/>
      <c r="W107" s="24"/>
      <c r="X107" s="24"/>
      <c r="Y107" s="24"/>
    </row>
    <row r="108" spans="1:25" ht="15.75" customHeight="1" x14ac:dyDescent="0.25">
      <c r="A108" s="25"/>
      <c r="B108" s="623"/>
      <c r="C108" s="623"/>
      <c r="D108" s="623"/>
      <c r="E108" s="623"/>
      <c r="F108" s="623"/>
      <c r="G108" s="623"/>
      <c r="H108" s="623"/>
      <c r="I108" s="623"/>
      <c r="J108" s="623"/>
      <c r="K108" s="623"/>
      <c r="L108" s="623"/>
      <c r="M108" s="623"/>
      <c r="N108" s="623"/>
      <c r="O108" s="623"/>
      <c r="P108" s="24"/>
      <c r="Q108" s="24"/>
      <c r="R108" s="24"/>
      <c r="S108" s="24"/>
      <c r="T108" s="24"/>
      <c r="U108" s="24"/>
      <c r="V108" s="24"/>
      <c r="W108" s="24"/>
      <c r="X108" s="24"/>
      <c r="Y108" s="24"/>
    </row>
    <row r="109" spans="1:25" ht="15.75" customHeight="1" x14ac:dyDescent="0.25">
      <c r="A109" s="25"/>
      <c r="B109" s="623"/>
      <c r="C109" s="623"/>
      <c r="D109" s="623"/>
      <c r="E109" s="623"/>
      <c r="F109" s="623"/>
      <c r="G109" s="623"/>
      <c r="H109" s="623"/>
      <c r="I109" s="623"/>
      <c r="J109" s="623"/>
      <c r="K109" s="623"/>
      <c r="L109" s="623"/>
      <c r="M109" s="623"/>
      <c r="N109" s="623"/>
      <c r="O109" s="623"/>
      <c r="P109" s="24"/>
      <c r="Q109" s="24"/>
      <c r="R109" s="24"/>
      <c r="S109" s="24"/>
      <c r="T109" s="24"/>
      <c r="U109" s="24"/>
      <c r="V109" s="24"/>
      <c r="W109" s="24"/>
      <c r="X109" s="24"/>
      <c r="Y109" s="24"/>
    </row>
    <row r="110" spans="1:25" ht="15.75" customHeight="1" x14ac:dyDescent="0.25">
      <c r="A110" s="25"/>
      <c r="B110" s="623"/>
      <c r="C110" s="623"/>
      <c r="D110" s="623"/>
      <c r="E110" s="623"/>
      <c r="F110" s="623"/>
      <c r="G110" s="623"/>
      <c r="H110" s="623"/>
      <c r="I110" s="623"/>
      <c r="J110" s="623"/>
      <c r="K110" s="623"/>
      <c r="L110" s="623"/>
      <c r="M110" s="623"/>
      <c r="N110" s="623"/>
      <c r="O110" s="623"/>
      <c r="P110" s="24"/>
      <c r="Q110" s="24"/>
      <c r="R110" s="24"/>
      <c r="S110" s="24"/>
      <c r="T110" s="24"/>
      <c r="U110" s="24"/>
      <c r="V110" s="24"/>
      <c r="W110" s="24"/>
      <c r="X110" s="24"/>
      <c r="Y110" s="24"/>
    </row>
    <row r="111" spans="1:25" ht="15.75" customHeight="1" x14ac:dyDescent="0.25">
      <c r="A111" s="25"/>
      <c r="B111" s="623"/>
      <c r="C111" s="623"/>
      <c r="D111" s="623"/>
      <c r="E111" s="623"/>
      <c r="F111" s="623"/>
      <c r="G111" s="623"/>
      <c r="H111" s="623"/>
      <c r="I111" s="623"/>
      <c r="J111" s="623"/>
      <c r="K111" s="623"/>
      <c r="L111" s="623"/>
      <c r="M111" s="623"/>
      <c r="N111" s="623"/>
      <c r="O111" s="623"/>
      <c r="P111" s="24"/>
      <c r="Q111" s="24"/>
      <c r="R111" s="24"/>
      <c r="S111" s="24"/>
      <c r="T111" s="24"/>
      <c r="U111" s="24"/>
      <c r="V111" s="24"/>
      <c r="W111" s="24"/>
      <c r="X111" s="24"/>
      <c r="Y111" s="24"/>
    </row>
    <row r="112" spans="1:25" ht="15.75" customHeight="1" x14ac:dyDescent="0.25">
      <c r="A112" s="25"/>
      <c r="B112" s="623"/>
      <c r="C112" s="623"/>
      <c r="D112" s="623"/>
      <c r="E112" s="623"/>
      <c r="F112" s="623"/>
      <c r="G112" s="623"/>
      <c r="H112" s="623"/>
      <c r="I112" s="623"/>
      <c r="J112" s="623"/>
      <c r="K112" s="623"/>
      <c r="L112" s="623"/>
      <c r="M112" s="623"/>
      <c r="N112" s="623"/>
      <c r="O112" s="623"/>
      <c r="P112" s="24"/>
      <c r="Q112" s="24"/>
      <c r="R112" s="24"/>
      <c r="S112" s="24"/>
      <c r="T112" s="24"/>
      <c r="U112" s="24"/>
      <c r="V112" s="24"/>
      <c r="W112" s="24"/>
      <c r="X112" s="24"/>
      <c r="Y112" s="24"/>
    </row>
    <row r="113" spans="1:25" ht="15.75" customHeight="1" x14ac:dyDescent="0.25">
      <c r="A113" s="25"/>
      <c r="B113" s="623"/>
      <c r="C113" s="623"/>
      <c r="D113" s="623"/>
      <c r="E113" s="623"/>
      <c r="F113" s="623"/>
      <c r="G113" s="623"/>
      <c r="H113" s="623"/>
      <c r="I113" s="623"/>
      <c r="J113" s="623"/>
      <c r="K113" s="623"/>
      <c r="L113" s="623"/>
      <c r="M113" s="623"/>
      <c r="N113" s="623"/>
      <c r="O113" s="623"/>
      <c r="P113" s="24"/>
      <c r="Q113" s="24"/>
      <c r="R113" s="24"/>
      <c r="S113" s="24"/>
      <c r="T113" s="24"/>
      <c r="U113" s="24"/>
      <c r="V113" s="24"/>
      <c r="W113" s="24"/>
      <c r="X113" s="24"/>
      <c r="Y113" s="24"/>
    </row>
    <row r="114" spans="1:25" ht="15.75" customHeight="1" x14ac:dyDescent="0.25">
      <c r="A114" s="25"/>
      <c r="B114" s="623"/>
      <c r="C114" s="623"/>
      <c r="D114" s="623"/>
      <c r="E114" s="623"/>
      <c r="F114" s="623"/>
      <c r="G114" s="623"/>
      <c r="H114" s="623"/>
      <c r="I114" s="623"/>
      <c r="J114" s="623"/>
      <c r="K114" s="623"/>
      <c r="L114" s="623"/>
      <c r="M114" s="623"/>
      <c r="N114" s="623"/>
      <c r="O114" s="623"/>
      <c r="P114" s="24"/>
      <c r="Q114" s="24"/>
      <c r="R114" s="24"/>
      <c r="S114" s="24"/>
      <c r="T114" s="24"/>
      <c r="U114" s="24"/>
      <c r="V114" s="24"/>
      <c r="W114" s="24"/>
      <c r="X114" s="24"/>
      <c r="Y114" s="24"/>
    </row>
    <row r="115" spans="1:25" ht="15.75" customHeight="1" x14ac:dyDescent="0.25">
      <c r="A115" s="25"/>
      <c r="B115" s="623"/>
      <c r="C115" s="623"/>
      <c r="D115" s="623"/>
      <c r="E115" s="623"/>
      <c r="F115" s="623"/>
      <c r="G115" s="623"/>
      <c r="H115" s="623"/>
      <c r="I115" s="623"/>
      <c r="J115" s="623"/>
      <c r="K115" s="623"/>
      <c r="L115" s="623"/>
      <c r="M115" s="623"/>
      <c r="N115" s="623"/>
      <c r="O115" s="623"/>
      <c r="P115" s="24"/>
      <c r="Q115" s="24"/>
      <c r="R115" s="24"/>
      <c r="S115" s="24"/>
      <c r="T115" s="24"/>
      <c r="U115" s="24"/>
      <c r="V115" s="24"/>
      <c r="W115" s="24"/>
      <c r="X115" s="24"/>
      <c r="Y115" s="24"/>
    </row>
    <row r="116" spans="1:25" ht="15.75" customHeight="1" x14ac:dyDescent="0.25">
      <c r="A116" s="25"/>
      <c r="B116" s="623"/>
      <c r="C116" s="623"/>
      <c r="D116" s="623"/>
      <c r="E116" s="623"/>
      <c r="F116" s="623"/>
      <c r="G116" s="623"/>
      <c r="H116" s="623"/>
      <c r="I116" s="623"/>
      <c r="J116" s="623"/>
      <c r="K116" s="623"/>
      <c r="L116" s="623"/>
      <c r="M116" s="623"/>
      <c r="N116" s="623"/>
      <c r="O116" s="623"/>
      <c r="P116" s="24"/>
      <c r="Q116" s="24"/>
      <c r="R116" s="24"/>
      <c r="S116" s="24"/>
      <c r="T116" s="24"/>
      <c r="U116" s="24"/>
      <c r="V116" s="24"/>
      <c r="W116" s="24"/>
      <c r="X116" s="24"/>
      <c r="Y116" s="24"/>
    </row>
    <row r="117" spans="1:25" ht="15.75" customHeight="1" x14ac:dyDescent="0.25">
      <c r="A117" s="25"/>
      <c r="B117" s="623"/>
      <c r="C117" s="623"/>
      <c r="D117" s="623"/>
      <c r="E117" s="623"/>
      <c r="F117" s="623"/>
      <c r="G117" s="623"/>
      <c r="H117" s="623"/>
      <c r="I117" s="623"/>
      <c r="J117" s="623"/>
      <c r="K117" s="623"/>
      <c r="L117" s="623"/>
      <c r="M117" s="623"/>
      <c r="N117" s="623"/>
      <c r="O117" s="623"/>
      <c r="P117" s="24"/>
      <c r="Q117" s="24"/>
      <c r="R117" s="24"/>
      <c r="S117" s="24"/>
      <c r="T117" s="24"/>
      <c r="U117" s="24"/>
      <c r="V117" s="24"/>
      <c r="W117" s="24"/>
      <c r="X117" s="24"/>
      <c r="Y117" s="24"/>
    </row>
    <row r="118" spans="1:25" ht="15.75" customHeight="1" x14ac:dyDescent="0.25">
      <c r="A118" s="25"/>
      <c r="B118" s="623"/>
      <c r="C118" s="623"/>
      <c r="D118" s="623"/>
      <c r="E118" s="623"/>
      <c r="F118" s="623"/>
      <c r="G118" s="623"/>
      <c r="H118" s="623"/>
      <c r="I118" s="623"/>
      <c r="J118" s="623"/>
      <c r="K118" s="623"/>
      <c r="L118" s="623"/>
      <c r="M118" s="623"/>
      <c r="N118" s="623"/>
      <c r="O118" s="623"/>
      <c r="P118" s="24"/>
      <c r="Q118" s="24"/>
      <c r="R118" s="24"/>
      <c r="S118" s="24"/>
      <c r="T118" s="24"/>
      <c r="U118" s="24"/>
      <c r="V118" s="24"/>
      <c r="W118" s="24"/>
      <c r="X118" s="24"/>
      <c r="Y118" s="24"/>
    </row>
    <row r="119" spans="1:25" ht="15.75" customHeight="1" x14ac:dyDescent="0.25">
      <c r="A119" s="25"/>
      <c r="B119" s="623"/>
      <c r="C119" s="623"/>
      <c r="D119" s="623"/>
      <c r="E119" s="623"/>
      <c r="F119" s="623"/>
      <c r="G119" s="623"/>
      <c r="H119" s="623"/>
      <c r="I119" s="623"/>
      <c r="J119" s="623"/>
      <c r="K119" s="623"/>
      <c r="L119" s="623"/>
      <c r="M119" s="623"/>
      <c r="N119" s="623"/>
      <c r="O119" s="623"/>
      <c r="P119" s="24"/>
      <c r="Q119" s="24"/>
      <c r="R119" s="24"/>
      <c r="S119" s="24"/>
      <c r="T119" s="24"/>
      <c r="U119" s="24"/>
      <c r="V119" s="24"/>
      <c r="W119" s="24"/>
      <c r="X119" s="24"/>
      <c r="Y119" s="24"/>
    </row>
    <row r="120" spans="1:25" ht="15.75" customHeight="1" x14ac:dyDescent="0.25">
      <c r="A120" s="25"/>
      <c r="B120" s="623"/>
      <c r="C120" s="623"/>
      <c r="D120" s="623"/>
      <c r="E120" s="623"/>
      <c r="F120" s="623"/>
      <c r="G120" s="623"/>
      <c r="H120" s="623"/>
      <c r="I120" s="623"/>
      <c r="J120" s="623"/>
      <c r="K120" s="623"/>
      <c r="L120" s="623"/>
      <c r="M120" s="623"/>
      <c r="N120" s="623"/>
      <c r="O120" s="623"/>
      <c r="P120" s="24"/>
      <c r="Q120" s="24"/>
      <c r="R120" s="24"/>
      <c r="S120" s="24"/>
      <c r="T120" s="24"/>
      <c r="U120" s="24"/>
      <c r="V120" s="24"/>
      <c r="W120" s="24"/>
      <c r="X120" s="24"/>
      <c r="Y120" s="24"/>
    </row>
    <row r="121" spans="1:25" ht="15.75" customHeight="1" x14ac:dyDescent="0.25">
      <c r="A121" s="25"/>
      <c r="B121" s="623"/>
      <c r="C121" s="623"/>
      <c r="D121" s="623"/>
      <c r="E121" s="623"/>
      <c r="F121" s="623"/>
      <c r="G121" s="623"/>
      <c r="H121" s="623"/>
      <c r="I121" s="623"/>
      <c r="J121" s="623"/>
      <c r="K121" s="623"/>
      <c r="L121" s="623"/>
      <c r="M121" s="623"/>
      <c r="N121" s="623"/>
      <c r="O121" s="623"/>
      <c r="P121" s="24"/>
      <c r="Q121" s="24"/>
      <c r="R121" s="24"/>
      <c r="S121" s="24"/>
      <c r="T121" s="24"/>
      <c r="U121" s="24"/>
      <c r="V121" s="24"/>
      <c r="W121" s="24"/>
      <c r="X121" s="24"/>
      <c r="Y121" s="24"/>
    </row>
    <row r="122" spans="1:25" ht="15.75" customHeight="1" x14ac:dyDescent="0.25">
      <c r="A122" s="25"/>
      <c r="B122" s="623"/>
      <c r="C122" s="623"/>
      <c r="D122" s="623"/>
      <c r="E122" s="623"/>
      <c r="F122" s="623"/>
      <c r="G122" s="623"/>
      <c r="H122" s="623"/>
      <c r="I122" s="623"/>
      <c r="J122" s="623"/>
      <c r="K122" s="623"/>
      <c r="L122" s="623"/>
      <c r="M122" s="623"/>
      <c r="N122" s="623"/>
      <c r="O122" s="623"/>
      <c r="P122" s="24"/>
      <c r="Q122" s="24"/>
      <c r="R122" s="24"/>
      <c r="S122" s="24"/>
      <c r="T122" s="24"/>
      <c r="U122" s="24"/>
      <c r="V122" s="24"/>
      <c r="W122" s="24"/>
      <c r="X122" s="24"/>
      <c r="Y122" s="24"/>
    </row>
    <row r="123" spans="1:25" ht="15.75" customHeight="1" x14ac:dyDescent="0.25">
      <c r="A123" s="25"/>
      <c r="B123" s="623"/>
      <c r="C123" s="623"/>
      <c r="D123" s="623"/>
      <c r="E123" s="623"/>
      <c r="F123" s="623"/>
      <c r="G123" s="623"/>
      <c r="H123" s="623"/>
      <c r="I123" s="623"/>
      <c r="J123" s="623"/>
      <c r="K123" s="623"/>
      <c r="L123" s="623"/>
      <c r="M123" s="623"/>
      <c r="N123" s="623"/>
      <c r="O123" s="623"/>
      <c r="P123" s="24"/>
      <c r="Q123" s="24"/>
      <c r="R123" s="24"/>
      <c r="S123" s="24"/>
      <c r="T123" s="24"/>
      <c r="U123" s="24"/>
      <c r="V123" s="24"/>
      <c r="W123" s="24"/>
      <c r="X123" s="24"/>
      <c r="Y123" s="24"/>
    </row>
    <row r="124" spans="1:25" ht="15.75" customHeight="1" x14ac:dyDescent="0.25">
      <c r="A124" s="25"/>
      <c r="B124" s="623"/>
      <c r="C124" s="623"/>
      <c r="D124" s="623"/>
      <c r="E124" s="623"/>
      <c r="F124" s="623"/>
      <c r="G124" s="623"/>
      <c r="H124" s="623"/>
      <c r="I124" s="623"/>
      <c r="J124" s="623"/>
      <c r="K124" s="623"/>
      <c r="L124" s="623"/>
      <c r="M124" s="623"/>
      <c r="N124" s="623"/>
      <c r="O124" s="623"/>
      <c r="P124" s="24"/>
      <c r="Q124" s="24"/>
      <c r="R124" s="24"/>
      <c r="S124" s="24"/>
      <c r="T124" s="24"/>
      <c r="U124" s="24"/>
      <c r="V124" s="24"/>
      <c r="W124" s="24"/>
      <c r="X124" s="24"/>
      <c r="Y124" s="24"/>
    </row>
    <row r="125" spans="1:25" ht="15.75" customHeight="1" x14ac:dyDescent="0.25">
      <c r="A125" s="25"/>
      <c r="B125" s="623"/>
      <c r="C125" s="623"/>
      <c r="D125" s="623"/>
      <c r="E125" s="623"/>
      <c r="F125" s="623"/>
      <c r="G125" s="623"/>
      <c r="H125" s="623"/>
      <c r="I125" s="623"/>
      <c r="J125" s="623"/>
      <c r="K125" s="623"/>
      <c r="L125" s="623"/>
      <c r="M125" s="623"/>
      <c r="N125" s="623"/>
      <c r="O125" s="623"/>
      <c r="P125" s="24"/>
      <c r="Q125" s="24"/>
      <c r="R125" s="24"/>
      <c r="S125" s="24"/>
      <c r="T125" s="24"/>
      <c r="U125" s="24"/>
      <c r="V125" s="24"/>
      <c r="W125" s="24"/>
      <c r="X125" s="24"/>
      <c r="Y125" s="24"/>
    </row>
    <row r="126" spans="1:25" ht="15.75" customHeight="1" x14ac:dyDescent="0.25">
      <c r="A126" s="25"/>
      <c r="B126" s="623"/>
      <c r="C126" s="623"/>
      <c r="D126" s="623"/>
      <c r="E126" s="623"/>
      <c r="F126" s="623"/>
      <c r="G126" s="623"/>
      <c r="H126" s="623"/>
      <c r="I126" s="623"/>
      <c r="J126" s="623"/>
      <c r="K126" s="623"/>
      <c r="L126" s="623"/>
      <c r="M126" s="623"/>
      <c r="N126" s="623"/>
      <c r="O126" s="623"/>
      <c r="P126" s="24"/>
      <c r="Q126" s="24"/>
      <c r="R126" s="24"/>
      <c r="S126" s="24"/>
      <c r="T126" s="24"/>
      <c r="U126" s="24"/>
      <c r="V126" s="24"/>
      <c r="W126" s="24"/>
      <c r="X126" s="24"/>
      <c r="Y126" s="24"/>
    </row>
    <row r="127" spans="1:25" ht="15.75" customHeight="1" x14ac:dyDescent="0.25">
      <c r="A127" s="25"/>
      <c r="B127" s="623"/>
      <c r="C127" s="623"/>
      <c r="D127" s="623"/>
      <c r="E127" s="623"/>
      <c r="F127" s="623"/>
      <c r="G127" s="623"/>
      <c r="H127" s="623"/>
      <c r="I127" s="623"/>
      <c r="J127" s="623"/>
      <c r="K127" s="623"/>
      <c r="L127" s="623"/>
      <c r="M127" s="623"/>
      <c r="N127" s="623"/>
      <c r="O127" s="623"/>
      <c r="P127" s="24"/>
      <c r="Q127" s="24"/>
      <c r="R127" s="24"/>
      <c r="S127" s="24"/>
      <c r="T127" s="24"/>
      <c r="U127" s="24"/>
      <c r="V127" s="24"/>
      <c r="W127" s="24"/>
      <c r="X127" s="24"/>
      <c r="Y127" s="24"/>
    </row>
    <row r="128" spans="1:25" ht="15.75" customHeight="1" x14ac:dyDescent="0.25">
      <c r="A128" s="25"/>
      <c r="B128" s="623"/>
      <c r="C128" s="623"/>
      <c r="D128" s="623"/>
      <c r="E128" s="623"/>
      <c r="F128" s="623"/>
      <c r="G128" s="623"/>
      <c r="H128" s="623"/>
      <c r="I128" s="623"/>
      <c r="J128" s="623"/>
      <c r="K128" s="623"/>
      <c r="L128" s="623"/>
      <c r="M128" s="623"/>
      <c r="N128" s="623"/>
      <c r="O128" s="623"/>
      <c r="P128" s="24"/>
      <c r="Q128" s="24"/>
      <c r="R128" s="24"/>
      <c r="S128" s="24"/>
      <c r="T128" s="24"/>
      <c r="U128" s="24"/>
      <c r="V128" s="24"/>
      <c r="W128" s="24"/>
      <c r="X128" s="24"/>
      <c r="Y128" s="24"/>
    </row>
    <row r="129" spans="1:25" ht="15.75" customHeight="1" x14ac:dyDescent="0.25">
      <c r="A129" s="25"/>
      <c r="B129" s="623"/>
      <c r="C129" s="623"/>
      <c r="D129" s="623"/>
      <c r="E129" s="623"/>
      <c r="F129" s="623"/>
      <c r="G129" s="623"/>
      <c r="H129" s="623"/>
      <c r="I129" s="623"/>
      <c r="J129" s="623"/>
      <c r="K129" s="623"/>
      <c r="L129" s="623"/>
      <c r="M129" s="623"/>
      <c r="N129" s="623"/>
      <c r="O129" s="623"/>
      <c r="P129" s="24"/>
      <c r="Q129" s="24"/>
      <c r="R129" s="24"/>
      <c r="S129" s="24"/>
      <c r="T129" s="24"/>
      <c r="U129" s="24"/>
      <c r="V129" s="24"/>
      <c r="W129" s="24"/>
      <c r="X129" s="24"/>
      <c r="Y129" s="24"/>
    </row>
    <row r="130" spans="1:25" ht="15.75" customHeight="1" x14ac:dyDescent="0.25">
      <c r="A130" s="25"/>
      <c r="B130" s="623"/>
      <c r="C130" s="623"/>
      <c r="D130" s="623"/>
      <c r="E130" s="623"/>
      <c r="F130" s="623"/>
      <c r="G130" s="623"/>
      <c r="H130" s="623"/>
      <c r="I130" s="623"/>
      <c r="J130" s="623"/>
      <c r="K130" s="623"/>
      <c r="L130" s="623"/>
      <c r="M130" s="623"/>
      <c r="N130" s="623"/>
      <c r="O130" s="623"/>
      <c r="P130" s="24"/>
      <c r="Q130" s="24"/>
      <c r="R130" s="24"/>
      <c r="S130" s="24"/>
      <c r="T130" s="24"/>
      <c r="U130" s="24"/>
      <c r="V130" s="24"/>
      <c r="W130" s="24"/>
      <c r="X130" s="24"/>
      <c r="Y130" s="24"/>
    </row>
    <row r="131" spans="1:25" ht="15.75" customHeight="1" x14ac:dyDescent="0.25">
      <c r="A131" s="25"/>
      <c r="B131" s="623"/>
      <c r="C131" s="623"/>
      <c r="D131" s="623"/>
      <c r="E131" s="623"/>
      <c r="F131" s="623"/>
      <c r="G131" s="623"/>
      <c r="H131" s="623"/>
      <c r="I131" s="623"/>
      <c r="J131" s="623"/>
      <c r="K131" s="623"/>
      <c r="L131" s="623"/>
      <c r="M131" s="623"/>
      <c r="N131" s="623"/>
      <c r="O131" s="623"/>
      <c r="P131" s="24"/>
      <c r="Q131" s="24"/>
      <c r="R131" s="24"/>
      <c r="S131" s="24"/>
      <c r="T131" s="24"/>
      <c r="U131" s="24"/>
      <c r="V131" s="24"/>
      <c r="W131" s="24"/>
      <c r="X131" s="24"/>
      <c r="Y131" s="24"/>
    </row>
    <row r="132" spans="1:25" ht="15.75" customHeight="1" x14ac:dyDescent="0.25">
      <c r="A132" s="25"/>
      <c r="B132" s="623"/>
      <c r="C132" s="623"/>
      <c r="D132" s="623"/>
      <c r="E132" s="623"/>
      <c r="F132" s="623"/>
      <c r="G132" s="623"/>
      <c r="H132" s="623"/>
      <c r="I132" s="623"/>
      <c r="J132" s="623"/>
      <c r="K132" s="623"/>
      <c r="L132" s="623"/>
      <c r="M132" s="623"/>
      <c r="N132" s="623"/>
      <c r="O132" s="623"/>
      <c r="P132" s="24"/>
      <c r="Q132" s="24"/>
      <c r="R132" s="24"/>
      <c r="S132" s="24"/>
      <c r="T132" s="24"/>
      <c r="U132" s="24"/>
      <c r="V132" s="24"/>
      <c r="W132" s="24"/>
      <c r="X132" s="24"/>
      <c r="Y132" s="24"/>
    </row>
    <row r="133" spans="1:25" ht="15.75" customHeight="1" x14ac:dyDescent="0.25">
      <c r="A133" s="25"/>
      <c r="B133" s="623"/>
      <c r="C133" s="623"/>
      <c r="D133" s="623"/>
      <c r="E133" s="623"/>
      <c r="F133" s="623"/>
      <c r="G133" s="623"/>
      <c r="H133" s="623"/>
      <c r="I133" s="623"/>
      <c r="J133" s="623"/>
      <c r="K133" s="623"/>
      <c r="L133" s="623"/>
      <c r="M133" s="623"/>
      <c r="N133" s="623"/>
      <c r="O133" s="623"/>
      <c r="P133" s="24"/>
      <c r="Q133" s="24"/>
      <c r="R133" s="24"/>
      <c r="S133" s="24"/>
      <c r="T133" s="24"/>
      <c r="U133" s="24"/>
      <c r="V133" s="24"/>
      <c r="W133" s="24"/>
      <c r="X133" s="24"/>
      <c r="Y133" s="24"/>
    </row>
  </sheetData>
  <mergeCells count="3">
    <mergeCell ref="B1:O1"/>
    <mergeCell ref="B50:O133"/>
    <mergeCell ref="Q6:V15"/>
  </mergeCells>
  <conditionalFormatting sqref="B50:O50">
    <cfRule type="notContainsBlanks" dxfId="2" priority="1">
      <formula>LEN(TRIM(B50))&gt;0</formula>
    </cfRule>
  </conditionalFormatting>
  <conditionalFormatting sqref="B50:O50">
    <cfRule type="notContainsBlanks" dxfId="1" priority="2">
      <formula>LEN(TRIM(B50))&gt;0</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6.625" customWidth="1"/>
    <col min="2" max="2" width="10.125" customWidth="1"/>
    <col min="3" max="3" width="14" customWidth="1"/>
    <col min="4" max="4" width="18.375" customWidth="1"/>
    <col min="5" max="5" width="13.125" customWidth="1"/>
    <col min="6" max="6" width="11.625" customWidth="1"/>
    <col min="7" max="7" width="19" customWidth="1"/>
    <col min="8" max="8" width="14.125" customWidth="1"/>
    <col min="9" max="9" width="9.375" customWidth="1"/>
    <col min="10" max="10" width="12.875" customWidth="1"/>
    <col min="11" max="15" width="9.375" customWidth="1"/>
    <col min="16" max="22" width="10.75" customWidth="1"/>
  </cols>
  <sheetData>
    <row r="1" spans="1:22" ht="18" customHeight="1" x14ac:dyDescent="0.25">
      <c r="A1" s="60"/>
      <c r="B1" s="638" t="s">
        <v>59</v>
      </c>
      <c r="C1" s="623"/>
      <c r="D1" s="623"/>
      <c r="E1" s="623"/>
      <c r="F1" s="623"/>
      <c r="G1" s="623"/>
      <c r="H1" s="623"/>
      <c r="I1" s="623"/>
      <c r="J1" s="623"/>
      <c r="K1" s="623"/>
      <c r="L1" s="623"/>
      <c r="M1" s="623"/>
      <c r="N1" s="623"/>
      <c r="O1" s="623"/>
      <c r="P1" s="79"/>
      <c r="Q1" s="79"/>
      <c r="R1" s="79"/>
      <c r="S1" s="79"/>
      <c r="T1" s="79"/>
      <c r="U1" s="79"/>
      <c r="V1" s="79"/>
    </row>
    <row r="2" spans="1:22" ht="15.75" customHeight="1" x14ac:dyDescent="0.25">
      <c r="A2" s="4"/>
      <c r="B2" s="4">
        <v>1984</v>
      </c>
      <c r="C2" s="4">
        <v>1988</v>
      </c>
      <c r="D2" s="4">
        <v>1990</v>
      </c>
      <c r="E2" s="4">
        <v>1992</v>
      </c>
      <c r="F2" s="4">
        <v>1996</v>
      </c>
      <c r="G2" s="4">
        <v>1998</v>
      </c>
      <c r="H2" s="4">
        <v>2000</v>
      </c>
      <c r="I2" s="4">
        <v>2004</v>
      </c>
      <c r="J2" s="4" t="s">
        <v>80</v>
      </c>
      <c r="K2" s="4">
        <v>2010</v>
      </c>
      <c r="L2" s="4">
        <v>2011</v>
      </c>
      <c r="M2" s="4">
        <v>2012</v>
      </c>
      <c r="N2" s="4">
        <v>2013</v>
      </c>
      <c r="O2" s="4">
        <v>2014</v>
      </c>
      <c r="P2" s="12"/>
      <c r="Q2" s="12"/>
      <c r="R2" s="12"/>
      <c r="S2" s="12"/>
      <c r="T2" s="12"/>
      <c r="U2" s="12"/>
      <c r="V2" s="12"/>
    </row>
    <row r="3" spans="1:22" ht="15.75" customHeight="1" x14ac:dyDescent="0.25">
      <c r="A3" s="5" t="s">
        <v>82</v>
      </c>
      <c r="B3" s="110">
        <f>('Broadcast TV (RV)'!B3)/('Broadcast TV (RV)'!B43)*100</f>
        <v>47.407138050759919</v>
      </c>
      <c r="C3" s="110">
        <f>('Broadcast TV (RV)'!C3)/('Broadcast TV (RV)'!C43)*100</f>
        <v>45.259393831606985</v>
      </c>
      <c r="D3" s="110">
        <f>('Broadcast TV (RV)'!D3)/('Broadcast TV (RV)'!D43)*100</f>
        <v>43.205128951965165</v>
      </c>
      <c r="E3" s="110">
        <f>('Broadcast TV (RV)'!E3)/('Broadcast TV (RV)'!E43)*100</f>
        <v>41.324711262954395</v>
      </c>
      <c r="F3" s="110">
        <f>('Broadcast TV (RV)'!F3)/('Broadcast TV (RV)'!F43)*100</f>
        <v>39.787257685948674</v>
      </c>
      <c r="G3" s="110">
        <f>('Broadcast TV (RV)'!G3)/('Broadcast TV (RV)'!G43)*100</f>
        <v>37.846042157219287</v>
      </c>
      <c r="H3" s="110">
        <f>('Broadcast TV (RV)'!H3)/('Broadcast TV (RV)'!H43)*100</f>
        <v>38.044903813419793</v>
      </c>
      <c r="I3" s="110">
        <f>('Broadcast TV (RV)'!I3)/('Broadcast TV (RV)'!I43)*100</f>
        <v>34.708377531854282</v>
      </c>
      <c r="J3" s="110">
        <f>('Broadcast TV (RV)'!J3)/('Broadcast TV (RV)'!J43)*100</f>
        <v>36.670710059258859</v>
      </c>
      <c r="K3" s="110">
        <f>('Broadcast TV (RV)'!K3)/('Broadcast TV (RV)'!K43)*100</f>
        <v>36.851123335609323</v>
      </c>
      <c r="L3" s="110">
        <f>('Broadcast TV (RV)'!L3)/('Broadcast TV (RV)'!L43)*100</f>
        <v>38.232487104960001</v>
      </c>
      <c r="M3" s="110">
        <f>('Broadcast TV (RV)'!M3)/('Broadcast TV (RV)'!M43)*100</f>
        <v>40.039521958576799</v>
      </c>
      <c r="N3" s="110">
        <f>('Broadcast TV (RV)'!N3)/('Broadcast TV (RV)'!N43)*100</f>
        <v>39.076749506408852</v>
      </c>
      <c r="O3" s="110">
        <f>('Broadcast TV (RV)'!O3)/('Broadcast TV (RV)'!O43)*100</f>
        <v>41.040141213389127</v>
      </c>
      <c r="P3" s="24"/>
      <c r="Q3" s="24"/>
      <c r="R3" s="24"/>
      <c r="S3" s="24"/>
      <c r="T3" s="24"/>
      <c r="U3" s="24"/>
      <c r="V3" s="24"/>
    </row>
    <row r="4" spans="1:22" ht="15.75" customHeight="1" x14ac:dyDescent="0.25">
      <c r="A4" s="5" t="s">
        <v>32</v>
      </c>
      <c r="B4" s="81"/>
      <c r="C4" s="81"/>
      <c r="D4" s="81"/>
      <c r="E4" s="81"/>
      <c r="F4" s="81"/>
      <c r="G4" s="81"/>
      <c r="H4" s="81"/>
      <c r="I4" s="81"/>
      <c r="J4" s="81"/>
      <c r="K4" s="178"/>
      <c r="L4" s="110">
        <f>('Broadcast TV (RV)'!L4)/('Broadcast TV (RV)'!L43)*100</f>
        <v>23.891020848528189</v>
      </c>
      <c r="M4" s="110">
        <f>('Broadcast TV (RV)'!M4)/('Broadcast TV (RV)'!M43)*100</f>
        <v>23.708496607035762</v>
      </c>
      <c r="N4" s="110">
        <f>('Broadcast TV (RV)'!N4)/('Broadcast TV (RV)'!N43)*100</f>
        <v>24.322291516500048</v>
      </c>
      <c r="O4" s="110">
        <f>('Broadcast TV (RV)'!O4)/('Broadcast TV (RV)'!O43)*100</f>
        <v>24.071652719665273</v>
      </c>
      <c r="P4" s="24"/>
      <c r="Q4" s="24"/>
      <c r="R4" s="24"/>
      <c r="S4" s="24"/>
      <c r="T4" s="24"/>
      <c r="U4" s="24"/>
      <c r="V4" s="24"/>
    </row>
    <row r="5" spans="1:22" ht="15.75" customHeight="1" x14ac:dyDescent="0.25">
      <c r="A5" s="5" t="s">
        <v>309</v>
      </c>
      <c r="B5" s="81"/>
      <c r="C5" s="81"/>
      <c r="D5" s="81"/>
      <c r="E5" s="81"/>
      <c r="F5" s="81"/>
      <c r="G5" s="81"/>
      <c r="H5" s="81"/>
      <c r="I5" s="81"/>
      <c r="J5" s="110">
        <f>('Broadcast TV (RV)'!J5)/('Broadcast TV (RV)'!J43)*100</f>
        <v>24.776470581295936</v>
      </c>
      <c r="K5" s="110">
        <f>('Broadcast TV (RV)'!K5)/('Broadcast TV (RV)'!K43)*100</f>
        <v>27.335300131991787</v>
      </c>
      <c r="L5" s="81" t="s">
        <v>32</v>
      </c>
      <c r="M5" s="81"/>
      <c r="N5" s="81"/>
      <c r="O5" s="81"/>
      <c r="P5" s="24"/>
      <c r="Q5" s="24"/>
      <c r="R5" s="24"/>
      <c r="S5" s="24"/>
      <c r="T5" s="24"/>
      <c r="U5" s="24"/>
      <c r="V5" s="24"/>
    </row>
    <row r="6" spans="1:22" ht="15.75" customHeight="1" x14ac:dyDescent="0.25">
      <c r="A6" s="5" t="s">
        <v>314</v>
      </c>
      <c r="B6" s="81"/>
      <c r="C6" s="81"/>
      <c r="D6" s="81"/>
      <c r="E6" s="81"/>
      <c r="F6" s="81"/>
      <c r="G6" s="81"/>
      <c r="H6" s="81"/>
      <c r="I6" s="110">
        <f>('Broadcast TV (RV)'!I6)/('Broadcast TV (RV)'!I43)*100</f>
        <v>21.440984630199438</v>
      </c>
      <c r="J6" s="81" t="s">
        <v>300</v>
      </c>
      <c r="K6" s="81"/>
      <c r="L6" s="81"/>
      <c r="M6" s="81"/>
      <c r="N6" s="81"/>
      <c r="O6" s="81"/>
      <c r="P6" s="24"/>
      <c r="Q6" s="24"/>
      <c r="R6" s="24"/>
      <c r="S6" s="24"/>
      <c r="T6" s="24"/>
      <c r="U6" s="24"/>
      <c r="V6" s="24"/>
    </row>
    <row r="7" spans="1:22" ht="15.75" customHeight="1" x14ac:dyDescent="0.25">
      <c r="A7" s="5" t="s">
        <v>321</v>
      </c>
      <c r="B7" s="110">
        <f>('Broadcast TV (RV)'!B7)/('Broadcast TV (RV)'!B43)*100</f>
        <v>8.6373582816483623</v>
      </c>
      <c r="C7" s="110">
        <f>('Broadcast TV (RV)'!C7)/('Broadcast TV (RV)'!C43)*100</f>
        <v>10.540424357499376</v>
      </c>
      <c r="D7" s="110">
        <f>('Broadcast TV (RV)'!D7)/('Broadcast TV (RV)'!D43)*100</f>
        <v>7.0183556096663828</v>
      </c>
      <c r="E7" s="110">
        <f>('Broadcast TV (RV)'!E7)/('Broadcast TV (RV)'!E43)*100</f>
        <v>7.7290090136417913</v>
      </c>
      <c r="F7" s="110">
        <f>('Broadcast TV (RV)'!F7)/('Broadcast TV (RV)'!F43)*100</f>
        <v>8.1162536809811332</v>
      </c>
      <c r="G7" s="110">
        <f>('Broadcast TV (RV)'!G7)/('Broadcast TV (RV)'!G43)*100</f>
        <v>13.458569099944121</v>
      </c>
      <c r="H7" s="110">
        <f>('Broadcast TV (RV)'!H7)/('Broadcast TV (RV)'!H43)*100</f>
        <v>16.315886059306443</v>
      </c>
      <c r="I7" s="81"/>
      <c r="J7" s="81"/>
      <c r="K7" s="81"/>
      <c r="L7" s="81"/>
      <c r="M7" s="81"/>
      <c r="N7" s="81"/>
      <c r="O7" s="81"/>
      <c r="P7" s="24"/>
      <c r="Q7" s="24"/>
      <c r="R7" s="24"/>
      <c r="S7" s="24"/>
      <c r="T7" s="24"/>
      <c r="U7" s="24"/>
      <c r="V7" s="24"/>
    </row>
    <row r="8" spans="1:22" ht="15.75" customHeight="1" x14ac:dyDescent="0.25">
      <c r="A8" s="5" t="s">
        <v>327</v>
      </c>
      <c r="B8" s="110">
        <f>('Broadcast TV (RV)'!B8)/('Broadcast TV (RV)'!B43)*100</f>
        <v>1.3913873125354059</v>
      </c>
      <c r="C8" s="110">
        <f>('Broadcast TV (RV)'!C8)/('Broadcast TV (RV)'!C43)*100</f>
        <v>2.3682412399263355</v>
      </c>
      <c r="D8" s="110">
        <f>('Broadcast TV (RV)'!D8)/('Broadcast TV (RV)'!D43)*100</f>
        <v>2.321809446851784</v>
      </c>
      <c r="E8" s="110">
        <f>('Broadcast TV (RV)'!E8)/('Broadcast TV (RV)'!E43)*100</f>
        <v>2.4627217052158272</v>
      </c>
      <c r="F8" s="110">
        <f>('Broadcast TV (RV)'!F8)/('Broadcast TV (RV)'!F43)*100</f>
        <v>2.410188565344642</v>
      </c>
      <c r="G8" s="81" t="s">
        <v>330</v>
      </c>
      <c r="H8" s="81"/>
      <c r="I8" s="81"/>
      <c r="J8" s="81"/>
      <c r="K8" s="81"/>
      <c r="L8" s="81"/>
      <c r="M8" s="81"/>
      <c r="N8" s="81"/>
      <c r="O8" s="81"/>
      <c r="P8" s="24"/>
      <c r="Q8" s="24"/>
      <c r="R8" s="24"/>
      <c r="S8" s="24"/>
      <c r="T8" s="24"/>
      <c r="U8" s="24"/>
      <c r="V8" s="24"/>
    </row>
    <row r="9" spans="1:22" ht="15.75" customHeight="1" x14ac:dyDescent="0.25">
      <c r="A9" s="5" t="s">
        <v>333</v>
      </c>
      <c r="B9" s="110">
        <f>('Broadcast TV (RV)'!B9)/('Broadcast TV (RV)'!B43)*100</f>
        <v>0.87107861162930877</v>
      </c>
      <c r="C9" s="110">
        <f>('Broadcast TV (RV)'!C9)/('Broadcast TV (RV)'!C43)*100</f>
        <v>0.81091528837944571</v>
      </c>
      <c r="D9" s="110">
        <f>('Broadcast TV (RV)'!D9)/('Broadcast TV (RV)'!D43)*100</f>
        <v>0.81970691940824636</v>
      </c>
      <c r="E9" s="110">
        <f>('Broadcast TV (RV)'!E9)/('Broadcast TV (RV)'!E43)*100</f>
        <v>0.60664107257355626</v>
      </c>
      <c r="F9" s="110">
        <f>('Broadcast TV (RV)'!F9)/('Broadcast TV (RV)'!F43)*100</f>
        <v>0.74332918370442225</v>
      </c>
      <c r="G9" s="81" t="s">
        <v>330</v>
      </c>
      <c r="H9" s="81"/>
      <c r="I9" s="81"/>
      <c r="J9" s="81"/>
      <c r="K9" s="81"/>
      <c r="L9" s="81"/>
      <c r="M9" s="81"/>
      <c r="N9" s="81"/>
      <c r="O9" s="81"/>
      <c r="P9" s="24"/>
      <c r="Q9" s="626" t="s">
        <v>8</v>
      </c>
      <c r="R9" s="623"/>
      <c r="S9" s="623"/>
      <c r="T9" s="623"/>
      <c r="U9" s="623"/>
      <c r="V9" s="24"/>
    </row>
    <row r="10" spans="1:22" ht="15.75" customHeight="1" x14ac:dyDescent="0.25">
      <c r="A10" s="5" t="s">
        <v>367</v>
      </c>
      <c r="B10" s="110">
        <f>('Broadcast TV (RV)'!B10)/('Broadcast TV (RV)'!B43)*100</f>
        <v>0.9178479330590702</v>
      </c>
      <c r="C10" s="110">
        <f>('Broadcast TV (RV)'!C10)/('Broadcast TV (RV)'!C43)*100</f>
        <v>0.78327044900287357</v>
      </c>
      <c r="D10" s="81">
        <f>('Broadcast TV (RV)'!D10)/('Broadcast TV (RV)'!D43)*100</f>
        <v>0.76561458462496113</v>
      </c>
      <c r="E10" s="81" t="s">
        <v>339</v>
      </c>
      <c r="F10" s="81"/>
      <c r="G10" s="81"/>
      <c r="H10" s="81"/>
      <c r="I10" s="81"/>
      <c r="J10" s="81"/>
      <c r="K10" s="81"/>
      <c r="L10" s="81"/>
      <c r="M10" s="81"/>
      <c r="N10" s="81"/>
      <c r="O10" s="81"/>
      <c r="P10" s="24"/>
      <c r="Q10" s="623"/>
      <c r="R10" s="623"/>
      <c r="S10" s="623"/>
      <c r="T10" s="623"/>
      <c r="U10" s="623"/>
      <c r="V10" s="24"/>
    </row>
    <row r="11" spans="1:22" ht="15.75" customHeight="1" x14ac:dyDescent="0.25">
      <c r="A11" s="5" t="s">
        <v>340</v>
      </c>
      <c r="B11" s="110">
        <f>('Broadcast TV (RV)'!B11)/('Broadcast TV (RV)'!B43)*100</f>
        <v>0.95292492413139152</v>
      </c>
      <c r="C11" s="110">
        <f>('Broadcast TV (RV)'!C11)/('Broadcast TV (RV)'!C43)*100</f>
        <v>0.88463486005030434</v>
      </c>
      <c r="D11" s="81" t="s">
        <v>342</v>
      </c>
      <c r="E11" s="81"/>
      <c r="F11" s="81"/>
      <c r="G11" s="81"/>
      <c r="H11" s="81"/>
      <c r="I11" s="81"/>
      <c r="J11" s="81"/>
      <c r="K11" s="81"/>
      <c r="L11" s="81"/>
      <c r="M11" s="81"/>
      <c r="N11" s="81"/>
      <c r="O11" s="81"/>
      <c r="P11" s="24"/>
      <c r="Q11" s="623"/>
      <c r="R11" s="623"/>
      <c r="S11" s="623"/>
      <c r="T11" s="623"/>
      <c r="U11" s="623"/>
      <c r="V11" s="24"/>
    </row>
    <row r="12" spans="1:22" ht="15.75" customHeight="1" x14ac:dyDescent="0.25">
      <c r="A12" s="5" t="s">
        <v>344</v>
      </c>
      <c r="B12" s="110">
        <f>('Broadcast TV (RV)'!B12)/('Broadcast TV (RV)'!B43)*100</f>
        <v>0.2572312678636885</v>
      </c>
      <c r="C12" s="110">
        <f>('Broadcast TV (RV)'!C12)/('Broadcast TV (RV)'!C43)*100</f>
        <v>0.2349811347008621</v>
      </c>
      <c r="D12" s="81" t="s">
        <v>342</v>
      </c>
      <c r="E12" s="81"/>
      <c r="F12" s="81"/>
      <c r="G12" s="81"/>
      <c r="H12" s="81"/>
      <c r="I12" s="81"/>
      <c r="J12" s="81"/>
      <c r="K12" s="81"/>
      <c r="L12" s="81"/>
      <c r="M12" s="81"/>
      <c r="N12" s="81"/>
      <c r="O12" s="81"/>
      <c r="P12" s="24"/>
      <c r="Q12" s="623"/>
      <c r="R12" s="623"/>
      <c r="S12" s="623"/>
      <c r="T12" s="623"/>
      <c r="U12" s="623"/>
      <c r="V12" s="24"/>
    </row>
    <row r="13" spans="1:22" ht="15.75" customHeight="1" x14ac:dyDescent="0.25">
      <c r="A13" s="5" t="s">
        <v>345</v>
      </c>
      <c r="B13" s="110">
        <f>('Broadcast TV (RV)'!B13)/('Broadcast TV (RV)'!B43)*100</f>
        <v>0.3273852500083308</v>
      </c>
      <c r="C13" s="110">
        <f>('Broadcast TV (RV)'!C13)/('Broadcast TV (RV)'!C43)*100</f>
        <v>0.28105586699514873</v>
      </c>
      <c r="D13" s="81" t="s">
        <v>342</v>
      </c>
      <c r="E13" s="81"/>
      <c r="F13" s="81"/>
      <c r="G13" s="81"/>
      <c r="H13" s="81"/>
      <c r="I13" s="81"/>
      <c r="J13" s="81"/>
      <c r="K13" s="81"/>
      <c r="L13" s="81"/>
      <c r="M13" s="81"/>
      <c r="N13" s="81"/>
      <c r="O13" s="81"/>
      <c r="P13" s="24"/>
      <c r="Q13" s="623"/>
      <c r="R13" s="623"/>
      <c r="S13" s="623"/>
      <c r="T13" s="623"/>
      <c r="U13" s="623"/>
      <c r="V13" s="24"/>
    </row>
    <row r="14" spans="1:22" ht="15.75" customHeight="1" x14ac:dyDescent="0.25">
      <c r="A14" s="5" t="s">
        <v>347</v>
      </c>
      <c r="B14" s="110">
        <f>('Broadcast TV (RV)'!B14)/('Broadcast TV (RV)'!B43)*100</f>
        <v>0.52615486608481732</v>
      </c>
      <c r="C14" s="110">
        <f>('Broadcast TV (RV)'!C14)/('Broadcast TV (RV)'!C43)*100</f>
        <v>0.48839216231943877</v>
      </c>
      <c r="D14" s="81" t="s">
        <v>348</v>
      </c>
      <c r="E14" s="81"/>
      <c r="F14" s="81"/>
      <c r="G14" s="81"/>
      <c r="H14" s="81"/>
      <c r="I14" s="81"/>
      <c r="J14" s="81"/>
      <c r="K14" s="81"/>
      <c r="L14" s="81"/>
      <c r="M14" s="81"/>
      <c r="N14" s="81"/>
      <c r="O14" s="81"/>
      <c r="P14" s="24"/>
      <c r="Q14" s="623"/>
      <c r="R14" s="623"/>
      <c r="S14" s="623"/>
      <c r="T14" s="623"/>
      <c r="U14" s="623"/>
      <c r="V14" s="24"/>
    </row>
    <row r="15" spans="1:22" ht="15.75" customHeight="1" x14ac:dyDescent="0.25">
      <c r="A15" s="5" t="s">
        <v>380</v>
      </c>
      <c r="B15" s="110">
        <f>('Broadcast TV (RV)'!B15)/('Broadcast TV (RV)'!B43)*100</f>
        <v>4.3203160670742227</v>
      </c>
      <c r="C15" s="110">
        <f>('Broadcast TV (RV)'!C15)/('Broadcast TV (RV)'!C43)*100</f>
        <v>4.9760710877829624</v>
      </c>
      <c r="D15" s="110">
        <f>('Broadcast TV (RV)'!D15)/('Broadcast TV (RV)'!D43)*100</f>
        <v>4.8683101304956766</v>
      </c>
      <c r="E15" s="110">
        <f>('Broadcast TV (RV)'!E15)/('Broadcast TV (RV)'!E43)*100</f>
        <v>5.0821255417586002</v>
      </c>
      <c r="F15" s="110">
        <f>('Broadcast TV (RV)'!F15)/('Broadcast TV (RV)'!F43)*100</f>
        <v>4.7528017503525177</v>
      </c>
      <c r="G15" s="110">
        <f>('Broadcast TV (RV)'!G15)/('Broadcast TV (RV)'!G43)*100</f>
        <v>5.1377959605870327</v>
      </c>
      <c r="H15" s="110">
        <f>('Broadcast TV (RV)'!H15)/('Broadcast TV (RV)'!H43)*100</f>
        <v>5.5136639702230141</v>
      </c>
      <c r="I15" s="110">
        <f>('Broadcast TV (RV)'!I15)/('Broadcast TV (RV)'!I43)*100</f>
        <v>8.3036795738886422</v>
      </c>
      <c r="J15" s="81" t="s">
        <v>351</v>
      </c>
      <c r="K15" s="81"/>
      <c r="L15" s="81"/>
      <c r="M15" s="81"/>
      <c r="N15" s="81"/>
      <c r="O15" s="81"/>
      <c r="P15" s="24"/>
      <c r="Q15" s="623"/>
      <c r="R15" s="623"/>
      <c r="S15" s="623"/>
      <c r="T15" s="623"/>
      <c r="U15" s="623"/>
      <c r="V15" s="24"/>
    </row>
    <row r="16" spans="1:22" ht="15.75" customHeight="1" x14ac:dyDescent="0.25">
      <c r="A16" s="5" t="s">
        <v>388</v>
      </c>
      <c r="B16" s="81"/>
      <c r="C16" s="81"/>
      <c r="D16" s="81"/>
      <c r="E16" s="81"/>
      <c r="F16" s="81"/>
      <c r="G16" s="110">
        <f>('Broadcast TV (RV)'!G16)/('Broadcast TV (RV)'!G43)*100</f>
        <v>1.1599273749001269</v>
      </c>
      <c r="H16" s="110">
        <f>('Broadcast TV (RV)'!H16)/('Broadcast TV (RV)'!H43)*100</f>
        <v>1.5101222509619645</v>
      </c>
      <c r="I16" s="110">
        <f>('Broadcast TV (RV)'!I16)/('Broadcast TV (RV)'!I43)*100</f>
        <v>1.755402250425685</v>
      </c>
      <c r="J16" s="81" t="s">
        <v>397</v>
      </c>
      <c r="K16" s="81"/>
      <c r="L16" s="81"/>
      <c r="M16" s="178"/>
      <c r="N16" s="81"/>
      <c r="O16" s="178"/>
      <c r="P16" s="24"/>
      <c r="Q16" s="623"/>
      <c r="R16" s="623"/>
      <c r="S16" s="623"/>
      <c r="T16" s="623"/>
      <c r="U16" s="623"/>
      <c r="V16" s="24"/>
    </row>
    <row r="17" spans="1:22" ht="15.75" customHeight="1" x14ac:dyDescent="0.25">
      <c r="A17" s="5" t="s">
        <v>400</v>
      </c>
      <c r="B17" s="81"/>
      <c r="C17" s="81"/>
      <c r="D17" s="81"/>
      <c r="E17" s="81"/>
      <c r="F17" s="81"/>
      <c r="G17" s="81"/>
      <c r="H17" s="110">
        <f>('Broadcast TV (RV)'!H17)/('Broadcast TV (RV)'!H43)*100</f>
        <v>0.27247858006487619</v>
      </c>
      <c r="I17" s="110">
        <f>('Broadcast TV (RV)'!I17)/('Broadcast TV (RV)'!I43)*100</f>
        <v>0.63633331577931085</v>
      </c>
      <c r="J17" s="110">
        <f>('Broadcast TV (RV)'!J17)/('Broadcast TV (RV)'!J43)*100</f>
        <v>0.81103790142320942</v>
      </c>
      <c r="K17" s="110">
        <f>('Broadcast TV (RV)'!K17)/('Broadcast TV (RV)'!K43)*100</f>
        <v>15.289731929012545</v>
      </c>
      <c r="L17" s="110">
        <f>('Broadcast TV (RV)'!L17)/('Broadcast TV (RV)'!L43)*100</f>
        <v>15.687290925010297</v>
      </c>
      <c r="M17" s="110">
        <f>('Broadcast TV (RV)'!M17)/('Broadcast TV (RV)'!M43)*100</f>
        <v>13.822158789030345</v>
      </c>
      <c r="N17" s="110">
        <f>('Broadcast TV (RV)'!N17)/('Broadcast TV (RV)'!N43)*100</f>
        <v>13.963851828637688</v>
      </c>
      <c r="O17" s="110">
        <f>('Broadcast TV (RV)'!O17)/('Broadcast TV (RV)'!O43)*100</f>
        <v>13.983821446652719</v>
      </c>
      <c r="P17" s="24"/>
      <c r="Q17" s="623"/>
      <c r="R17" s="623"/>
      <c r="S17" s="623"/>
      <c r="T17" s="623"/>
      <c r="U17" s="623"/>
      <c r="V17" s="24"/>
    </row>
    <row r="18" spans="1:22" ht="15.75" customHeight="1" x14ac:dyDescent="0.25">
      <c r="A18" s="95" t="s">
        <v>379</v>
      </c>
      <c r="B18" s="97"/>
      <c r="C18" s="97"/>
      <c r="D18" s="97"/>
      <c r="E18" s="97"/>
      <c r="F18" s="97"/>
      <c r="G18" s="97"/>
      <c r="H18" s="97"/>
      <c r="I18" s="97"/>
      <c r="J18" s="97"/>
      <c r="K18" s="258">
        <f>('Broadcast TV (RV)'!K18)/('Broadcast TV (RV)'!K43)*100</f>
        <v>14.493330725509784</v>
      </c>
      <c r="L18" s="258">
        <f>('Broadcast TV (RV)'!L18)/('Broadcast TV (RV)'!L43)*100</f>
        <v>14.909756137959082</v>
      </c>
      <c r="M18" s="258">
        <f>('Broadcast TV (RV)'!M18)/('Broadcast TV (RV)'!M43)*100</f>
        <v>13.06482028123283</v>
      </c>
      <c r="N18" s="258">
        <f>('Broadcast TV (RV)'!N18)/('Broadcast TV (RV)'!N43)*100</f>
        <v>13.193769782819894</v>
      </c>
      <c r="O18" s="258">
        <f>('Broadcast TV (RV)'!O18)/('Broadcast TV (RV)'!O43)*100</f>
        <v>13.219142259414227</v>
      </c>
      <c r="P18" s="161"/>
      <c r="Q18" s="623"/>
      <c r="R18" s="623"/>
      <c r="S18" s="623"/>
      <c r="T18" s="623"/>
      <c r="U18" s="623"/>
      <c r="V18" s="24"/>
    </row>
    <row r="19" spans="1:22" ht="15.75" customHeight="1" x14ac:dyDescent="0.25">
      <c r="A19" s="95" t="s">
        <v>384</v>
      </c>
      <c r="B19" s="97"/>
      <c r="C19" s="97"/>
      <c r="D19" s="97"/>
      <c r="E19" s="97"/>
      <c r="F19" s="97"/>
      <c r="G19" s="97"/>
      <c r="H19" s="258">
        <f>('Broadcast TV (RV)'!H19)/('Broadcast TV (RV)'!H43)*100</f>
        <v>0.27247858006487619</v>
      </c>
      <c r="I19" s="258">
        <f>('Broadcast TV (RV)'!I19)/('Broadcast TV (RV)'!I43)*100</f>
        <v>0.63633331577931085</v>
      </c>
      <c r="J19" s="258">
        <f>('Broadcast TV (RV)'!J19)/('Broadcast TV (RV)'!J43)*100</f>
        <v>0.81103790142320942</v>
      </c>
      <c r="K19" s="258">
        <f>('Broadcast TV (RV)'!K19)/('Broadcast TV (RV)'!K43)*100</f>
        <v>0.79640120350275989</v>
      </c>
      <c r="L19" s="258">
        <f>('Broadcast TV (RV)'!L19)/('Broadcast TV (RV)'!L43)*100</f>
        <v>0.77753478705121526</v>
      </c>
      <c r="M19" s="258">
        <f>('Broadcast TV (RV)'!M19)/('Broadcast TV (RV)'!M43)*100</f>
        <v>0.75733850779751632</v>
      </c>
      <c r="N19" s="258">
        <f>('Broadcast TV (RV)'!N19)/('Broadcast TV (RV)'!N43)*100</f>
        <v>0.77008204581779427</v>
      </c>
      <c r="O19" s="258">
        <f>('Broadcast TV (RV)'!O19)/('Broadcast TV (RV)'!O43)*100</f>
        <v>0.76467918723849371</v>
      </c>
      <c r="P19" s="161"/>
      <c r="Q19" s="623"/>
      <c r="R19" s="623"/>
      <c r="S19" s="623"/>
      <c r="T19" s="623"/>
      <c r="U19" s="623"/>
      <c r="V19" s="24"/>
    </row>
    <row r="20" spans="1:22" ht="15.75" customHeight="1" x14ac:dyDescent="0.25">
      <c r="A20" s="5" t="s">
        <v>476</v>
      </c>
      <c r="B20" s="110">
        <f>('Broadcast TV (RV)'!B20)/('Broadcast TV (RV)'!B43)*100</f>
        <v>4.9575480715547231</v>
      </c>
      <c r="C20" s="110">
        <f>('Broadcast TV (RV)'!C20)/('Broadcast TV (RV)'!C43)*100</f>
        <v>6.5241820928709933</v>
      </c>
      <c r="D20" s="110">
        <f>('Broadcast TV (RV)'!D20)/('Broadcast TV (RV)'!D43)*100</f>
        <v>8.8378553138229208</v>
      </c>
      <c r="E20" s="110">
        <f>('Broadcast TV (RV)'!E20)/('Broadcast TV (RV)'!E43)*100</f>
        <v>9.7986594437543282</v>
      </c>
      <c r="F20" s="110">
        <f>('Broadcast TV (RV)'!F20)/('Broadcast TV (RV)'!F43)*100</f>
        <v>12.208618714175662</v>
      </c>
      <c r="G20" s="110">
        <f>('Broadcast TV (RV)'!G20)/('Broadcast TV (RV)'!G43)*100</f>
        <v>13.919128498801522</v>
      </c>
      <c r="H20" s="110">
        <f>('Broadcast TV (RV)'!H20)/('Broadcast TV (RV)'!H43)*100</f>
        <v>19.762904240850055</v>
      </c>
      <c r="I20" s="110">
        <f>('Broadcast TV (RV)'!I20)/('Broadcast TV (RV)'!I43)*100</f>
        <v>20.362666104937947</v>
      </c>
      <c r="J20" s="110">
        <f>('Broadcast TV (RV)'!J20)/('Broadcast TV (RV)'!J43)*100</f>
        <v>16.338727177762109</v>
      </c>
      <c r="K20" s="81" t="s">
        <v>16</v>
      </c>
      <c r="L20" s="81"/>
      <c r="M20" s="81"/>
      <c r="N20" s="81"/>
      <c r="O20" s="81"/>
      <c r="P20" s="24"/>
      <c r="Q20" s="623"/>
      <c r="R20" s="623"/>
      <c r="S20" s="623"/>
      <c r="T20" s="623"/>
      <c r="U20" s="623"/>
      <c r="V20" s="24"/>
    </row>
    <row r="21" spans="1:22" ht="15.75" customHeight="1" x14ac:dyDescent="0.25">
      <c r="A21" s="5" t="s">
        <v>496</v>
      </c>
      <c r="B21" s="110">
        <f>('Broadcast TV (RV)'!B21)/('Broadcast TV (RV)'!B43)*100</f>
        <v>3.4141604643725927</v>
      </c>
      <c r="C21" s="110">
        <f>('Broadcast TV (RV)'!C21)/('Broadcast TV (RV)'!C43)*100</f>
        <v>3.3404180913357848</v>
      </c>
      <c r="D21" s="110">
        <f>('Broadcast TV (RV)'!D21)/('Broadcast TV (RV)'!D43)*100</f>
        <v>5.6963389475628903</v>
      </c>
      <c r="E21" s="110">
        <f>('Broadcast TV (RV)'!E21)/('Broadcast TV (RV)'!E43)*100</f>
        <v>7.9626662638462813</v>
      </c>
      <c r="F21" s="110">
        <f>('Broadcast TV (RV)'!F21)/('Broadcast TV (RV)'!F43)*100</f>
        <v>10.357804130507581</v>
      </c>
      <c r="G21" s="110">
        <f>('Broadcast TV (RV)'!G21)/('Broadcast TV (RV)'!G43)*100</f>
        <v>11.616331504514505</v>
      </c>
      <c r="H21" s="81" t="s">
        <v>390</v>
      </c>
      <c r="I21" s="81"/>
      <c r="J21" s="81"/>
      <c r="K21" s="81"/>
      <c r="L21" s="81"/>
      <c r="M21" s="81"/>
      <c r="N21" s="81"/>
      <c r="O21" s="81"/>
      <c r="P21" s="24"/>
      <c r="Q21" s="24"/>
      <c r="R21" s="24"/>
      <c r="S21" s="24"/>
      <c r="T21" s="24"/>
      <c r="U21" s="24"/>
      <c r="V21" s="24"/>
    </row>
    <row r="22" spans="1:22" ht="15.75" customHeight="1" x14ac:dyDescent="0.25">
      <c r="A22" s="5" t="s">
        <v>516</v>
      </c>
      <c r="B22" s="110">
        <f>('Broadcast TV (RV)'!B22)/('Broadcast TV (RV)'!B43)*100</f>
        <v>0.9178479330590702</v>
      </c>
      <c r="C22" s="110">
        <f>('Broadcast TV (RV)'!C22)/('Broadcast TV (RV)'!C43)*100</f>
        <v>0.85238254744430353</v>
      </c>
      <c r="D22" s="110">
        <f>('Broadcast TV (RV)'!D22)/('Broadcast TV (RV)'!D43)*100</f>
        <v>1.9015536150739525</v>
      </c>
      <c r="E22" s="110">
        <f>('Broadcast TV (RV)'!E22)/('Broadcast TV (RV)'!E43)*100</f>
        <v>1.6391361431126552</v>
      </c>
      <c r="F22" s="110">
        <f>('Broadcast TV (RV)'!F22)/('Broadcast TV (RV)'!F43)*100</f>
        <v>5.6162649435445235</v>
      </c>
      <c r="G22" s="110">
        <f>('Broadcast TV (RV)'!G22)/('Broadcast TV (RV)'!G43)*100</f>
        <v>2.4563167939061508</v>
      </c>
      <c r="H22" s="110">
        <f>('Broadcast TV (RV)'!H22)/('Broadcast TV (RV)'!H43)*100</f>
        <v>2.5081160863803063</v>
      </c>
      <c r="I22" s="110">
        <f>('Broadcast TV (RV)'!I22)/('Broadcast TV (RV)'!I43)*100</f>
        <v>2.3729276849504348</v>
      </c>
      <c r="J22" s="110">
        <f>('Broadcast TV (RV)'!J22)/('Broadcast TV (RV)'!J43)*100</f>
        <v>6.0400204440535745</v>
      </c>
      <c r="K22" s="110">
        <f>('Broadcast TV (RV)'!K22)/('Broadcast TV (RV)'!K43)*100</f>
        <v>7.232025634749327</v>
      </c>
      <c r="L22" s="110">
        <f>('Broadcast TV (RV)'!L22)/('Broadcast TV (RV)'!L43)*100</f>
        <v>8.5243482229089942</v>
      </c>
      <c r="M22" s="110">
        <f>('Broadcast TV (RV)'!M22)/('Broadcast TV (RV)'!M43)*100</f>
        <v>8.5003206261288788</v>
      </c>
      <c r="N22" s="110">
        <f>('Broadcast TV (RV)'!N22)/('Broadcast TV (RV)'!N43)*100</f>
        <v>8.5649816666144361</v>
      </c>
      <c r="O22" s="110">
        <f>('Broadcast TV (RV)'!O22)/('Broadcast TV (RV)'!O43)*100</f>
        <v>7.4692730125523017</v>
      </c>
      <c r="P22" s="24"/>
      <c r="Q22" s="24"/>
      <c r="R22" s="24"/>
      <c r="S22" s="24"/>
      <c r="T22" s="24"/>
      <c r="U22" s="24"/>
      <c r="V22" s="24"/>
    </row>
    <row r="23" spans="1:22" ht="15.75" customHeight="1" x14ac:dyDescent="0.25">
      <c r="A23" s="5" t="s">
        <v>539</v>
      </c>
      <c r="B23" s="110">
        <f>('Broadcast TV (RV)'!B23)/('Broadcast TV (RV)'!B43)*100</f>
        <v>2.0315833227615179</v>
      </c>
      <c r="C23" s="110">
        <f>('Broadcast TV (RV)'!C23)/('Broadcast TV (RV)'!C43)*100</f>
        <v>2.2155127173172344</v>
      </c>
      <c r="D23" s="110">
        <f>('Broadcast TV (RV)'!D23)/('Broadcast TV (RV)'!D43)*100</f>
        <v>2.1310465868152844</v>
      </c>
      <c r="E23" s="110">
        <f>('Broadcast TV (RV)'!E23)/('Broadcast TV (RV)'!E43)*100</f>
        <v>2.69208737833682</v>
      </c>
      <c r="F23" s="81" t="s">
        <v>145</v>
      </c>
      <c r="G23" s="81"/>
      <c r="H23" s="81"/>
      <c r="I23" s="81"/>
      <c r="J23" s="81"/>
      <c r="K23" s="81"/>
      <c r="L23" s="81"/>
      <c r="M23" s="81"/>
      <c r="N23" s="81"/>
      <c r="O23" s="81"/>
      <c r="P23" s="24"/>
      <c r="Q23" s="24"/>
      <c r="R23" s="24"/>
      <c r="S23" s="24"/>
      <c r="T23" s="24"/>
      <c r="U23" s="24"/>
      <c r="V23" s="24"/>
    </row>
    <row r="24" spans="1:22" ht="15.75" customHeight="1" x14ac:dyDescent="0.25">
      <c r="A24" s="5" t="s">
        <v>542</v>
      </c>
      <c r="B24" s="110">
        <f>('Broadcast TV (RV)'!B24)/('Broadcast TV (RV)'!B43)*100</f>
        <v>4.0864694599254152</v>
      </c>
      <c r="C24" s="110">
        <f>('Broadcast TV (RV)'!C24)/('Broadcast TV (RV)'!C43)*100</f>
        <v>3.7689131016726503</v>
      </c>
      <c r="D24" s="81" t="s">
        <v>394</v>
      </c>
      <c r="E24" s="81"/>
      <c r="F24" s="81"/>
      <c r="G24" s="81"/>
      <c r="H24" s="81"/>
      <c r="I24" s="81"/>
      <c r="J24" s="81"/>
      <c r="K24" s="81"/>
      <c r="L24" s="81"/>
      <c r="M24" s="81"/>
      <c r="N24" s="81"/>
      <c r="O24" s="81"/>
      <c r="P24" s="24"/>
      <c r="Q24" s="24"/>
      <c r="R24" s="24"/>
      <c r="S24" s="24"/>
      <c r="T24" s="24"/>
      <c r="U24" s="24"/>
      <c r="V24" s="24"/>
    </row>
    <row r="25" spans="1:22" ht="15.75" customHeight="1" x14ac:dyDescent="0.25">
      <c r="A25" s="5" t="s">
        <v>544</v>
      </c>
      <c r="B25" s="81"/>
      <c r="C25" s="81"/>
      <c r="D25" s="81"/>
      <c r="E25" s="81"/>
      <c r="F25" s="81"/>
      <c r="G25" s="81"/>
      <c r="H25" s="110">
        <f>('Broadcast TV (RV)'!H25)/('Broadcast TV (RV)'!H43)*100</f>
        <v>7.363487410668883</v>
      </c>
      <c r="I25" s="110">
        <f>('Broadcast TV (RV)'!I25)/('Broadcast TV (RV)'!I43)*100</f>
        <v>7.6673462581093315</v>
      </c>
      <c r="J25" s="110">
        <f>('Broadcast TV (RV)'!J25)/('Broadcast TV (RV)'!J43)*100</f>
        <v>8.4436418609987225</v>
      </c>
      <c r="K25" s="110">
        <f>('Broadcast TV (RV)'!K25)/('Broadcast TV (RV)'!K43)*100</f>
        <v>8.3329331807678493</v>
      </c>
      <c r="L25" s="110">
        <f>('Broadcast TV (RV)'!L25)/('Broadcast TV (RV)'!L43)*100</f>
        <v>7.5933808793015114</v>
      </c>
      <c r="M25" s="110">
        <f>('Broadcast TV (RV)'!M25)/('Broadcast TV (RV)'!M43)*100</f>
        <v>7.3950157769108831</v>
      </c>
      <c r="N25" s="110">
        <f>('Broadcast TV (RV)'!N25)/('Broadcast TV (RV)'!N43)*100</f>
        <v>7.4117020276411054</v>
      </c>
      <c r="O25" s="110">
        <f>('Broadcast TV (RV)'!O25)/('Broadcast TV (RV)'!O43)*100</f>
        <v>7.4986924686192475</v>
      </c>
      <c r="P25" s="24"/>
      <c r="Q25" s="24"/>
      <c r="R25" s="24"/>
      <c r="S25" s="24"/>
      <c r="T25" s="24"/>
      <c r="U25" s="24"/>
      <c r="V25" s="24"/>
    </row>
    <row r="26" spans="1:22" ht="15.75" customHeight="1" x14ac:dyDescent="0.25">
      <c r="A26" s="5" t="s">
        <v>547</v>
      </c>
      <c r="B26" s="110">
        <f>('Broadcast TV (RV)'!B26)/('Broadcast TV (RV)'!B43)*100</f>
        <v>5.2206255045971321</v>
      </c>
      <c r="C26" s="110">
        <f>('Broadcast TV (RV)'!C26)/('Broadcast TV (RV)'!C43)*100</f>
        <v>4.648940488493527</v>
      </c>
      <c r="D26" s="110">
        <f>('Broadcast TV (RV)'!D26)/('Broadcast TV (RV)'!D43)*100</f>
        <v>5.7712360264935922</v>
      </c>
      <c r="E26" s="110">
        <f>('Broadcast TV (RV)'!E26)/('Broadcast TV (RV)'!E43)*100</f>
        <v>6.7092092132307215</v>
      </c>
      <c r="F26" s="110">
        <f>('Broadcast TV (RV)'!F26)/('Broadcast TV (RV)'!F43)*100</f>
        <v>6.9114597333325323</v>
      </c>
      <c r="G26" s="110">
        <f>('Broadcast TV (RV)'!G26)/('Broadcast TV (RV)'!G43)*100</f>
        <v>7.2597807464337363</v>
      </c>
      <c r="H26" s="81" t="s">
        <v>294</v>
      </c>
      <c r="I26" s="81"/>
      <c r="J26" s="81"/>
      <c r="K26" s="81"/>
      <c r="L26" s="81"/>
      <c r="M26" s="81"/>
      <c r="N26" s="81"/>
      <c r="O26" s="81"/>
      <c r="P26" s="24"/>
      <c r="Q26" s="24"/>
      <c r="R26" s="24"/>
      <c r="S26" s="24"/>
      <c r="T26" s="24"/>
      <c r="U26" s="24"/>
      <c r="V26" s="24"/>
    </row>
    <row r="27" spans="1:22" ht="15.75" customHeight="1" x14ac:dyDescent="0.25">
      <c r="A27" s="5" t="s">
        <v>551</v>
      </c>
      <c r="B27" s="81">
        <f>('Broadcast TV (RV)'!B27)/('Broadcast TV (RV)'!B43)*100</f>
        <v>4.9575480715547231</v>
      </c>
      <c r="C27" s="81" t="s">
        <v>399</v>
      </c>
      <c r="D27" s="81"/>
      <c r="E27" s="81"/>
      <c r="F27" s="81"/>
      <c r="G27" s="81"/>
      <c r="H27" s="81"/>
      <c r="I27" s="81"/>
      <c r="J27" s="81"/>
      <c r="K27" s="81"/>
      <c r="L27" s="81"/>
      <c r="M27" s="81"/>
      <c r="N27" s="81"/>
      <c r="O27" s="81"/>
      <c r="P27" s="24"/>
      <c r="Q27" s="24"/>
      <c r="R27" s="24"/>
      <c r="S27" s="24"/>
      <c r="T27" s="24"/>
      <c r="U27" s="24"/>
      <c r="V27" s="24"/>
    </row>
    <row r="28" spans="1:22" ht="15.75" customHeight="1" x14ac:dyDescent="0.25">
      <c r="A28" s="5" t="s">
        <v>552</v>
      </c>
      <c r="B28" s="81">
        <f>('Broadcast TV (RV)'!B28)/('Broadcast TV (RV)'!B43)*100</f>
        <v>0.99384808038243277</v>
      </c>
      <c r="C28" s="81">
        <f>('Broadcast TV (RV)'!C28)/('Broadcast TV (RV)'!C43)*100</f>
        <v>0.92149464588573371</v>
      </c>
      <c r="D28" s="81" t="s">
        <v>403</v>
      </c>
      <c r="E28" s="81"/>
      <c r="F28" s="81"/>
      <c r="G28" s="81"/>
      <c r="H28" s="81"/>
      <c r="I28" s="81"/>
      <c r="J28" s="81"/>
      <c r="K28" s="81"/>
      <c r="L28" s="81"/>
      <c r="M28" s="81"/>
      <c r="N28" s="81"/>
      <c r="O28" s="81"/>
      <c r="P28" s="24"/>
      <c r="Q28" s="24"/>
      <c r="R28" s="24"/>
      <c r="S28" s="24"/>
      <c r="T28" s="24"/>
      <c r="U28" s="24"/>
      <c r="V28" s="24"/>
    </row>
    <row r="29" spans="1:22" ht="15.75" customHeight="1" x14ac:dyDescent="0.25">
      <c r="A29" s="5" t="s">
        <v>404</v>
      </c>
      <c r="B29" s="81"/>
      <c r="C29" s="81"/>
      <c r="D29" s="81"/>
      <c r="E29" s="81"/>
      <c r="F29" s="81"/>
      <c r="G29" s="81"/>
      <c r="H29" s="81"/>
      <c r="I29" s="81"/>
      <c r="J29" s="110">
        <f>('Broadcast TV (RV)'!J29)/('Broadcast TV (RV)'!J43)*100</f>
        <v>2.8813964716017293</v>
      </c>
      <c r="K29" s="110">
        <f>('Broadcast TV (RV)'!K29)/('Broadcast TV (RV)'!K43)*100</f>
        <v>1.8123983270890012</v>
      </c>
      <c r="L29" s="110">
        <f>('Broadcast TV (RV)'!L29)/('Broadcast TV (RV)'!L43)*100</f>
        <v>1.899059151837347</v>
      </c>
      <c r="M29" s="110">
        <f>('Broadcast TV (RV)'!M29)/('Broadcast TV (RV)'!M43)*100</f>
        <v>2.140431612771359</v>
      </c>
      <c r="N29" s="110">
        <f>('Broadcast TV (RV)'!N29)/('Broadcast TV (RV)'!N43)*100</f>
        <v>2.4099783760067695</v>
      </c>
      <c r="O29" s="110">
        <f>('Broadcast TV (RV)'!O29)/('Broadcast TV (RV)'!O43)*100</f>
        <v>1.4513598326359833</v>
      </c>
      <c r="P29" s="24"/>
      <c r="Q29" s="24"/>
      <c r="R29" s="24"/>
      <c r="S29" s="24"/>
      <c r="T29" s="24"/>
      <c r="U29" s="24"/>
      <c r="V29" s="24"/>
    </row>
    <row r="30" spans="1:22" ht="15.75" customHeight="1" x14ac:dyDescent="0.25">
      <c r="A30" s="5" t="s">
        <v>560</v>
      </c>
      <c r="B30" s="110">
        <f>('Broadcast TV (RV)'!B30)/('Broadcast TV (RV)'!B43)*100</f>
        <v>0.38584690179553272</v>
      </c>
      <c r="C30" s="110">
        <f>('Broadcast TV (RV)'!C30)/('Broadcast TV (RV)'!C43)*100</f>
        <v>0.84777507421487497</v>
      </c>
      <c r="D30" s="110">
        <f>('Broadcast TV (RV)'!D30)/('Broadcast TV (RV)'!D43)*100</f>
        <v>1.8100127408253157</v>
      </c>
      <c r="E30" s="110">
        <f>('Broadcast TV (RV)'!E30)/('Broadcast TV (RV)'!E43)*100</f>
        <v>2.6595787420112202</v>
      </c>
      <c r="F30" s="110">
        <f>('Broadcast TV (RV)'!F30)/('Broadcast TV (RV)'!F43)*100</f>
        <v>2.6279314575408868</v>
      </c>
      <c r="G30" s="110">
        <f>('Broadcast TV (RV)'!G30)/('Broadcast TV (RV)'!G43)*100</f>
        <v>0.99958447307569764</v>
      </c>
      <c r="H30" s="110">
        <f>('Broadcast TV (RV)'!H30)/('Broadcast TV (RV)'!H43)*100</f>
        <v>1.2212292986040234</v>
      </c>
      <c r="I30" s="110">
        <f>('Broadcast TV (RV)'!I30)/('Broadcast TV (RV)'!I43)*100</f>
        <v>3.5421509696089717</v>
      </c>
      <c r="J30" s="81" t="s">
        <v>407</v>
      </c>
      <c r="K30" s="81"/>
      <c r="L30" s="81"/>
      <c r="M30" s="81"/>
      <c r="N30" s="81"/>
      <c r="O30" s="81"/>
      <c r="P30" s="24"/>
      <c r="Q30" s="24"/>
      <c r="R30" s="24"/>
      <c r="S30" s="24"/>
      <c r="T30" s="24"/>
      <c r="U30" s="24"/>
      <c r="V30" s="24"/>
    </row>
    <row r="31" spans="1:22" ht="15.75" customHeight="1" x14ac:dyDescent="0.25">
      <c r="A31" s="5" t="s">
        <v>410</v>
      </c>
      <c r="B31" s="81"/>
      <c r="C31" s="81"/>
      <c r="D31" s="81"/>
      <c r="E31" s="81"/>
      <c r="F31" s="81"/>
      <c r="G31" s="110">
        <f>('Broadcast TV (RV)'!G31)/('Broadcast TV (RV)'!G43)*100</f>
        <v>0.21151616836414078</v>
      </c>
      <c r="H31" s="110">
        <f>('Broadcast TV (RV)'!H31)/('Broadcast TV (RV)'!H43)*100</f>
        <v>1.7070947184787424</v>
      </c>
      <c r="I31" s="81"/>
      <c r="J31" s="81"/>
      <c r="K31" s="81"/>
      <c r="L31" s="81"/>
      <c r="M31" s="81"/>
      <c r="N31" s="81"/>
      <c r="O31" s="81"/>
      <c r="P31" s="24"/>
      <c r="Q31" s="24"/>
      <c r="R31" s="24"/>
      <c r="S31" s="24"/>
      <c r="T31" s="24"/>
      <c r="U31" s="24"/>
      <c r="V31" s="24"/>
    </row>
    <row r="32" spans="1:22" ht="15.75" customHeight="1" x14ac:dyDescent="0.25">
      <c r="A32" s="5" t="s">
        <v>567</v>
      </c>
      <c r="B32" s="110">
        <f>('Broadcast TV (RV)'!B32)/('Broadcast TV (RV)'!B43)*100</f>
        <v>3.2387755090109867</v>
      </c>
      <c r="C32" s="110">
        <f>('Broadcast TV (RV)'!C32)/('Broadcast TV (RV)'!C43)*100</f>
        <v>3.1054369566349225</v>
      </c>
      <c r="D32" s="110">
        <f>('Broadcast TV (RV)'!D32)/('Broadcast TV (RV)'!D43)*100</f>
        <v>4.922402465278962</v>
      </c>
      <c r="E32" s="110">
        <f>('Broadcast TV (RV)'!E32)/('Broadcast TV (RV)'!E43)*100</f>
        <v>4.2384525269212041</v>
      </c>
      <c r="F32" s="110">
        <f>('Broadcast TV (RV)'!F32)/('Broadcast TV (RV)'!F43)*100</f>
        <v>2.4439762555130242</v>
      </c>
      <c r="G32" s="81" t="s">
        <v>413</v>
      </c>
      <c r="H32" s="81"/>
      <c r="I32" s="81"/>
      <c r="J32" s="81"/>
      <c r="K32" s="81"/>
      <c r="L32" s="81"/>
      <c r="M32" s="81"/>
      <c r="N32" s="81"/>
      <c r="O32" s="81"/>
      <c r="P32" s="24"/>
      <c r="Q32" s="24"/>
      <c r="R32" s="24"/>
      <c r="S32" s="24"/>
      <c r="T32" s="24"/>
      <c r="U32" s="24"/>
      <c r="V32" s="24"/>
    </row>
    <row r="33" spans="1:22" ht="15.75" customHeight="1" x14ac:dyDescent="0.25">
      <c r="A33" s="5" t="s">
        <v>414</v>
      </c>
      <c r="B33" s="81"/>
      <c r="C33" s="81"/>
      <c r="D33" s="81"/>
      <c r="E33" s="81"/>
      <c r="F33" s="81"/>
      <c r="G33" s="81"/>
      <c r="H33" s="81"/>
      <c r="I33" s="81"/>
      <c r="J33" s="81"/>
      <c r="K33" s="81"/>
      <c r="L33" s="81"/>
      <c r="M33" s="277">
        <f>('Broadcast TV (RV)'!M33)/('Broadcast TV (RV)'!M43)*100</f>
        <v>1.8129338796697301</v>
      </c>
      <c r="N33" s="277">
        <f>('Broadcast TV (RV)'!N33)/('Broadcast TV (RV)'!N43)*100</f>
        <v>1.845874204769814</v>
      </c>
      <c r="O33" s="277">
        <f>('Broadcast TV (RV)'!O33)/('Broadcast TV (RV)'!O43)*100</f>
        <v>1.9157132583682008</v>
      </c>
      <c r="P33" s="24"/>
      <c r="Q33" s="24"/>
      <c r="R33" s="24"/>
      <c r="S33" s="24"/>
      <c r="T33" s="24"/>
      <c r="U33" s="24"/>
      <c r="V33" s="24"/>
    </row>
    <row r="34" spans="1:22" ht="15.75" customHeight="1" x14ac:dyDescent="0.25">
      <c r="A34" s="5" t="s">
        <v>576</v>
      </c>
      <c r="B34" s="110">
        <f>('Broadcast TV (RV)'!B34)/('Broadcast TV (RV)'!B43)*100</f>
        <v>0.40923156251041354</v>
      </c>
      <c r="C34" s="110">
        <f>('Broadcast TV (RV)'!C34)/('Broadcast TV (RV)'!C43)*100</f>
        <v>0.52985942138429687</v>
      </c>
      <c r="D34" s="110">
        <f>('Broadcast TV (RV)'!D34)/('Broadcast TV (RV)'!D43)*100</f>
        <v>0.57837188729820432</v>
      </c>
      <c r="E34" s="110">
        <f>('Broadcast TV (RV)'!E34)/('Broadcast TV (RV)'!E43)*100</f>
        <v>0.63878099694831414</v>
      </c>
      <c r="F34" s="110">
        <f>('Broadcast TV (RV)'!F34)/('Broadcast TV (RV)'!F43)*100</f>
        <v>0.65322867658873462</v>
      </c>
      <c r="G34" s="110">
        <f>('Broadcast TV (RV)'!G34)/('Broadcast TV (RV)'!G43)*100</f>
        <v>0.60043299406594808</v>
      </c>
      <c r="H34" s="110">
        <f>('Broadcast TV (RV)'!H34)/('Broadcast TV (RV)'!H43)*100</f>
        <v>0.7025351341431747</v>
      </c>
      <c r="I34" s="110">
        <f>('Broadcast TV (RV)'!I34)/('Broadcast TV (RV)'!I43)*100</f>
        <v>1.0187602346220495</v>
      </c>
      <c r="J34" s="110">
        <f>('Broadcast TV (RV)'!J34)/('Broadcast TV (RV)'!J43)*100</f>
        <v>1.0056869977647798</v>
      </c>
      <c r="K34" s="110">
        <f>('Broadcast TV (RV)'!K34)/('Broadcast TV (RV)'!K43)*100</f>
        <v>1.1155472740240864</v>
      </c>
      <c r="L34" s="110">
        <f>('Broadcast TV (RV)'!L34)/('Broadcast TV (RV)'!L43)*100</f>
        <v>1.1165896667194026</v>
      </c>
      <c r="M34" s="110">
        <f>('Broadcast TV (RV)'!M34)/('Broadcast TV (RV)'!M43)*100</f>
        <v>1.1725588479799385</v>
      </c>
      <c r="N34" s="110">
        <f>('Broadcast TV (RV)'!N34)/('Broadcast TV (RV)'!N43)*100</f>
        <v>1.2504152433482718</v>
      </c>
      <c r="O34" s="110">
        <f>('Broadcast TV (RV)'!O34)/('Broadcast TV (RV)'!O43)*100</f>
        <v>1.2454236401673642</v>
      </c>
      <c r="P34" s="24"/>
      <c r="Q34" s="24"/>
      <c r="R34" s="24"/>
      <c r="S34" s="24"/>
      <c r="T34" s="24"/>
      <c r="U34" s="24"/>
      <c r="V34" s="24"/>
    </row>
    <row r="35" spans="1:22" ht="15.75" customHeight="1" x14ac:dyDescent="0.25">
      <c r="A35" s="5" t="s">
        <v>423</v>
      </c>
      <c r="B35" s="81"/>
      <c r="C35" s="81"/>
      <c r="D35" s="81"/>
      <c r="E35" s="110">
        <f>('Broadcast TV (RV)'!E35)/('Broadcast TV (RV)'!E43)*100</f>
        <v>0.15065589550667788</v>
      </c>
      <c r="F35" s="110">
        <f>('Broadcast TV (RV)'!F35)/('Broadcast TV (RV)'!F43)*100</f>
        <v>0.17269263863840112</v>
      </c>
      <c r="G35" s="110">
        <f>('Broadcast TV (RV)'!G35)/('Broadcast TV (RV)'!G43)*100</f>
        <v>0.25927788380120481</v>
      </c>
      <c r="H35" s="81" t="s">
        <v>267</v>
      </c>
      <c r="I35" s="81"/>
      <c r="J35" s="81"/>
      <c r="K35" s="81"/>
      <c r="L35" s="81"/>
      <c r="M35" s="81"/>
      <c r="N35" s="81"/>
      <c r="O35" s="81"/>
      <c r="P35" s="24"/>
      <c r="Q35" s="24"/>
      <c r="R35" s="24"/>
      <c r="S35" s="24"/>
      <c r="T35" s="24"/>
      <c r="U35" s="24"/>
      <c r="V35" s="24"/>
    </row>
    <row r="36" spans="1:22" ht="15.75" customHeight="1" x14ac:dyDescent="0.25">
      <c r="A36" s="5"/>
      <c r="B36" s="81"/>
      <c r="C36" s="81"/>
      <c r="D36" s="81"/>
      <c r="E36" s="81"/>
      <c r="F36" s="81"/>
      <c r="G36" s="81"/>
      <c r="H36" s="81"/>
      <c r="I36" s="81"/>
      <c r="J36" s="81"/>
      <c r="K36" s="81"/>
      <c r="L36" s="81"/>
      <c r="M36" s="81"/>
      <c r="N36" s="81"/>
      <c r="O36" s="81"/>
      <c r="P36" s="24"/>
      <c r="Q36" s="24"/>
      <c r="R36" s="24"/>
      <c r="S36" s="24"/>
      <c r="T36" s="24"/>
      <c r="U36" s="24"/>
      <c r="V36" s="24"/>
    </row>
    <row r="37" spans="1:22" ht="15.75" customHeight="1" x14ac:dyDescent="0.25">
      <c r="A37" s="5" t="s">
        <v>426</v>
      </c>
      <c r="B37" s="81">
        <v>899.61300000000006</v>
      </c>
      <c r="C37" s="81">
        <v>1188.057</v>
      </c>
      <c r="D37" s="81">
        <v>1364.9880000000001</v>
      </c>
      <c r="E37" s="81">
        <v>1460.4960000000001</v>
      </c>
      <c r="F37" s="81">
        <v>1603.8820000000001</v>
      </c>
      <c r="G37" s="81">
        <v>1821.8679999999999</v>
      </c>
      <c r="H37" s="81">
        <v>1887.221</v>
      </c>
      <c r="I37" s="81">
        <v>2082.902</v>
      </c>
      <c r="J37" s="81">
        <v>2147.4169999999999</v>
      </c>
      <c r="K37" s="81">
        <v>2156.7640000000001</v>
      </c>
      <c r="L37" s="81">
        <v>2162.9340000000002</v>
      </c>
      <c r="M37" s="81">
        <v>2050.6709999999998</v>
      </c>
      <c r="N37" s="81">
        <v>1958.0060000000001</v>
      </c>
      <c r="O37" s="81"/>
      <c r="P37" s="24"/>
      <c r="Q37" s="24"/>
      <c r="R37" s="24"/>
      <c r="S37" s="24"/>
      <c r="T37" s="24"/>
      <c r="U37" s="24"/>
      <c r="V37" s="24"/>
    </row>
    <row r="38" spans="1:22" ht="15.75" customHeight="1" x14ac:dyDescent="0.25">
      <c r="A38" s="5" t="s">
        <v>429</v>
      </c>
      <c r="B38" s="81">
        <v>586.1099999999999</v>
      </c>
      <c r="C38" s="81">
        <v>643.92999999999995</v>
      </c>
      <c r="D38" s="81">
        <v>627.41</v>
      </c>
      <c r="E38" s="81">
        <v>630.41999999999996</v>
      </c>
      <c r="F38" s="81">
        <v>674.31</v>
      </c>
      <c r="G38" s="81">
        <v>664.3</v>
      </c>
      <c r="H38" s="81">
        <v>654.29</v>
      </c>
      <c r="I38" s="81">
        <v>737.44999999999993</v>
      </c>
      <c r="J38" s="81">
        <v>826.8</v>
      </c>
      <c r="K38" s="81">
        <v>840.59999999999991</v>
      </c>
      <c r="L38" s="81">
        <v>839.1</v>
      </c>
      <c r="M38" s="81">
        <v>861.4</v>
      </c>
      <c r="N38" s="81">
        <v>783.2</v>
      </c>
      <c r="O38" s="81"/>
      <c r="P38" s="24"/>
      <c r="Q38" s="24"/>
      <c r="R38" s="24"/>
      <c r="S38" s="24"/>
      <c r="T38" s="24"/>
      <c r="U38" s="24"/>
      <c r="V38" s="24"/>
    </row>
    <row r="39" spans="1:22" ht="15.75" customHeight="1" x14ac:dyDescent="0.25">
      <c r="A39" s="5" t="s">
        <v>430</v>
      </c>
      <c r="B39" s="81">
        <v>224.8</v>
      </c>
      <c r="C39" s="81">
        <v>338.4</v>
      </c>
      <c r="D39" s="81">
        <v>410.9</v>
      </c>
      <c r="E39" s="81">
        <v>398.20000000000005</v>
      </c>
      <c r="F39" s="81">
        <v>385.50000000000006</v>
      </c>
      <c r="G39" s="81">
        <v>445.04999999999995</v>
      </c>
      <c r="H39" s="81">
        <v>504.6</v>
      </c>
      <c r="I39" s="81">
        <v>369.8</v>
      </c>
      <c r="J39" s="81">
        <v>416.5</v>
      </c>
      <c r="K39" s="81">
        <v>418</v>
      </c>
      <c r="L39" s="81">
        <v>499.69999999999993</v>
      </c>
      <c r="M39" s="81">
        <v>507.80000000000007</v>
      </c>
      <c r="N39" s="81">
        <v>463.69999999999993</v>
      </c>
      <c r="O39" s="81"/>
      <c r="P39" s="44"/>
      <c r="Q39" s="44"/>
      <c r="R39" s="44"/>
      <c r="S39" s="44"/>
      <c r="T39" s="44"/>
      <c r="U39" s="44"/>
      <c r="V39" s="44"/>
    </row>
    <row r="40" spans="1:22" ht="15.75" customHeight="1" x14ac:dyDescent="0.25">
      <c r="A40" s="5"/>
      <c r="B40" s="81"/>
      <c r="C40" s="81"/>
      <c r="D40" s="81"/>
      <c r="E40" s="81"/>
      <c r="F40" s="81"/>
      <c r="G40" s="81"/>
      <c r="H40" s="81"/>
      <c r="I40" s="81"/>
      <c r="J40" s="81"/>
      <c r="K40" s="81"/>
      <c r="L40" s="81"/>
      <c r="M40" s="81"/>
      <c r="N40" s="81"/>
      <c r="O40" s="81"/>
      <c r="P40" s="44"/>
      <c r="Q40" s="44"/>
      <c r="R40" s="44"/>
      <c r="S40" s="44"/>
      <c r="T40" s="44"/>
      <c r="U40" s="44"/>
      <c r="V40" s="44"/>
    </row>
    <row r="41" spans="1:22" ht="15.75" customHeight="1" x14ac:dyDescent="0.25">
      <c r="A41" s="5"/>
      <c r="B41" s="81"/>
      <c r="C41" s="81"/>
      <c r="D41" s="81"/>
      <c r="E41" s="81"/>
      <c r="F41" s="81"/>
      <c r="G41" s="81"/>
      <c r="H41" s="81"/>
      <c r="I41" s="81"/>
      <c r="J41" s="81"/>
      <c r="K41" s="81"/>
      <c r="L41" s="81"/>
      <c r="M41" s="81"/>
      <c r="N41" s="81"/>
      <c r="O41" s="81"/>
      <c r="P41" s="44"/>
      <c r="Q41" s="44"/>
      <c r="R41" s="44"/>
      <c r="S41" s="44"/>
      <c r="T41" s="44"/>
      <c r="U41" s="44"/>
      <c r="V41" s="44"/>
    </row>
    <row r="42" spans="1:22" ht="15.75" customHeight="1" x14ac:dyDescent="0.25">
      <c r="A42" s="5"/>
      <c r="B42" s="81"/>
      <c r="C42" s="81"/>
      <c r="D42" s="81"/>
      <c r="E42" s="81"/>
      <c r="F42" s="81"/>
      <c r="G42" s="81"/>
      <c r="H42" s="81"/>
      <c r="I42" s="81"/>
      <c r="J42" s="81"/>
      <c r="K42" s="81"/>
      <c r="L42" s="81"/>
      <c r="M42" s="81"/>
      <c r="N42" s="81"/>
      <c r="O42" s="81"/>
      <c r="P42" s="44"/>
      <c r="Q42" s="44"/>
      <c r="R42" s="44"/>
      <c r="S42" s="44"/>
      <c r="T42" s="44"/>
      <c r="U42" s="44"/>
      <c r="V42" s="44"/>
    </row>
    <row r="43" spans="1:22" ht="15.75" customHeight="1" x14ac:dyDescent="0.25">
      <c r="A43" s="193" t="s">
        <v>41</v>
      </c>
      <c r="B43" s="338">
        <f>'Broadcast TV (RV)'!B43</f>
        <v>1710.5229999999999</v>
      </c>
      <c r="C43" s="338">
        <f>'Broadcast TV (RV)'!C43</f>
        <v>2170.3870000000002</v>
      </c>
      <c r="D43" s="338">
        <f>'Broadcast TV (RV)'!D43</f>
        <v>2403.2980000000002</v>
      </c>
      <c r="E43" s="338">
        <f>'Broadcast TV (RV)'!E43</f>
        <v>2489.116</v>
      </c>
      <c r="F43" s="338">
        <f>'Broadcast TV (RV)'!F43</f>
        <v>2663.692</v>
      </c>
      <c r="G43" s="338">
        <f>'Broadcast TV (RV)'!G43</f>
        <v>2931.2179999999998</v>
      </c>
      <c r="H43" s="338">
        <f>'Broadcast TV (RV)'!H43</f>
        <v>3046.1109999999999</v>
      </c>
      <c r="I43" s="338">
        <f>'Broadcast TV (RV)'!I43</f>
        <v>3190.152</v>
      </c>
      <c r="J43" s="338">
        <f>'Broadcast TV (RV)'!J43</f>
        <v>3390.7169999999996</v>
      </c>
      <c r="K43" s="338">
        <f>'Broadcast TV (RV)'!K43</f>
        <v>3415.364</v>
      </c>
      <c r="L43" s="338">
        <f>'Broadcast TV (RV)'!L43</f>
        <v>3501.7339999999999</v>
      </c>
      <c r="M43" s="338">
        <f>'Broadcast TV (RV)'!M43</f>
        <v>3419.8710000000001</v>
      </c>
      <c r="N43" s="375">
        <f>'Broadcast TV (RV)'!N43</f>
        <v>3190.9</v>
      </c>
      <c r="O43" s="375">
        <f>'Broadcast TV (RV)'!O43</f>
        <v>3059.2</v>
      </c>
      <c r="P43" s="24"/>
      <c r="Q43" s="24"/>
      <c r="R43" s="24"/>
      <c r="S43" s="24"/>
      <c r="T43" s="24"/>
      <c r="U43" s="24"/>
      <c r="V43" s="24"/>
    </row>
    <row r="44" spans="1:22" ht="15.75" customHeight="1" x14ac:dyDescent="0.25">
      <c r="A44" s="193" t="s">
        <v>42</v>
      </c>
      <c r="B44" s="110">
        <f t="shared" ref="B44:D44" si="0">SUM(B3+B7+B26+B20)</f>
        <v>66.222669908560135</v>
      </c>
      <c r="C44" s="110">
        <f t="shared" si="0"/>
        <v>66.972940770470885</v>
      </c>
      <c r="D44" s="110">
        <f t="shared" si="0"/>
        <v>64.832575901948061</v>
      </c>
      <c r="E44" s="110">
        <f t="shared" ref="E44:G44" si="1">SUM(E3+E7+E21+E20)</f>
        <v>66.8150459841968</v>
      </c>
      <c r="F44" s="110">
        <f t="shared" si="1"/>
        <v>70.469934211613051</v>
      </c>
      <c r="G44" s="110">
        <f t="shared" si="1"/>
        <v>76.840071260479434</v>
      </c>
      <c r="H44" s="110">
        <f>SUM(H3+H7+H25+H20)</f>
        <v>81.487181524245173</v>
      </c>
      <c r="I44" s="110">
        <f>SUM(I3+I6+I15+I20)</f>
        <v>84.815707840880307</v>
      </c>
      <c r="J44" s="110">
        <f>SUM(J3+J5+J25+J20)</f>
        <v>86.229549679315625</v>
      </c>
      <c r="K44" s="110">
        <f>SUM(K3+K5+K25+K17)</f>
        <v>87.809088577381516</v>
      </c>
      <c r="L44" s="291">
        <f t="shared" ref="L44:O44" si="2">SUM(L3+L4+L17+L22)</f>
        <v>86.335147101407486</v>
      </c>
      <c r="M44" s="291">
        <f t="shared" si="2"/>
        <v>86.07049798077179</v>
      </c>
      <c r="N44" s="291">
        <f t="shared" si="2"/>
        <v>85.927874518161019</v>
      </c>
      <c r="O44" s="291">
        <f t="shared" si="2"/>
        <v>86.564888392259419</v>
      </c>
      <c r="P44" s="24"/>
      <c r="Q44" s="24"/>
      <c r="R44" s="24"/>
      <c r="S44" s="24"/>
      <c r="T44" s="24"/>
      <c r="U44" s="24"/>
      <c r="V44" s="24"/>
    </row>
    <row r="45" spans="1:22" ht="15.75" customHeight="1" x14ac:dyDescent="0.25">
      <c r="A45" s="193" t="s">
        <v>43</v>
      </c>
      <c r="B45" s="110">
        <f t="shared" ref="B45:O45" si="3">SUMSQ(B3:B17,B20:B35)</f>
        <v>2467.1300079591197</v>
      </c>
      <c r="C45" s="110">
        <f t="shared" si="3"/>
        <v>2298.9776520609844</v>
      </c>
      <c r="D45" s="110">
        <f t="shared" si="3"/>
        <v>2126.1509121051836</v>
      </c>
      <c r="E45" s="110">
        <f t="shared" si="3"/>
        <v>2039.5643011180412</v>
      </c>
      <c r="F45" s="110">
        <f t="shared" si="3"/>
        <v>2026.8308786661869</v>
      </c>
      <c r="G45" s="110">
        <f t="shared" si="3"/>
        <v>2030.0892255085823</v>
      </c>
      <c r="H45" s="110">
        <f t="shared" si="3"/>
        <v>2202.3611544137948</v>
      </c>
      <c r="I45" s="110">
        <f t="shared" si="3"/>
        <v>2229.4666056696465</v>
      </c>
      <c r="J45" s="110">
        <f t="shared" si="3"/>
        <v>2343.3170457883666</v>
      </c>
      <c r="K45" s="110">
        <f t="shared" si="3"/>
        <v>2465.2690304568564</v>
      </c>
      <c r="L45" s="110">
        <f t="shared" si="3"/>
        <v>2413.7721879312066</v>
      </c>
      <c r="M45" s="110">
        <f t="shared" si="3"/>
        <v>2492.4929837070836</v>
      </c>
      <c r="N45" s="291">
        <f t="shared" si="3"/>
        <v>2452.6263980218159</v>
      </c>
      <c r="O45" s="291">
        <f t="shared" si="3"/>
        <v>2578.6328284934875</v>
      </c>
      <c r="P45" s="24"/>
      <c r="Q45" s="24"/>
      <c r="R45" s="24"/>
      <c r="S45" s="24"/>
      <c r="T45" s="24"/>
      <c r="U45" s="24"/>
      <c r="V45" s="24"/>
    </row>
    <row r="46" spans="1:22" ht="15.75" customHeight="1" x14ac:dyDescent="0.25">
      <c r="A46" s="211" t="s">
        <v>368</v>
      </c>
      <c r="B46" s="97"/>
      <c r="C46" s="97"/>
      <c r="D46" s="97"/>
      <c r="E46" s="97"/>
      <c r="F46" s="97"/>
      <c r="G46" s="97"/>
      <c r="H46" s="97"/>
      <c r="I46" s="97"/>
      <c r="J46" s="97"/>
      <c r="K46" s="401">
        <f>SUM(K3+K5+K18+K25)</f>
        <v>87.012687373878748</v>
      </c>
      <c r="L46" s="401">
        <f t="shared" ref="L46:O46" si="4">SUM(L3+L4+L18+L22)</f>
        <v>85.557612314356263</v>
      </c>
      <c r="M46" s="401">
        <f t="shared" si="4"/>
        <v>85.313159472974277</v>
      </c>
      <c r="N46" s="401">
        <f t="shared" si="4"/>
        <v>85.157792472343232</v>
      </c>
      <c r="O46" s="401">
        <f t="shared" si="4"/>
        <v>85.800209205020934</v>
      </c>
      <c r="P46" s="161"/>
      <c r="Q46" s="161"/>
      <c r="R46" s="161"/>
      <c r="S46" s="161"/>
      <c r="T46" s="161"/>
      <c r="U46" s="161"/>
      <c r="V46" s="161"/>
    </row>
    <row r="47" spans="1:22" ht="15.75" customHeight="1" x14ac:dyDescent="0.25">
      <c r="A47" s="211" t="s">
        <v>377</v>
      </c>
      <c r="B47" s="97"/>
      <c r="C47" s="97"/>
      <c r="D47" s="97"/>
      <c r="E47" s="97"/>
      <c r="F47" s="97"/>
      <c r="G47" s="97"/>
      <c r="H47" s="97"/>
      <c r="I47" s="97"/>
      <c r="J47" s="97"/>
      <c r="K47" s="401">
        <f t="shared" ref="K47:O47" si="5">SUMSQ(K3:K34)</f>
        <v>2675.959920852803</v>
      </c>
      <c r="L47" s="401">
        <f t="shared" si="5"/>
        <v>2636.6775763696901</v>
      </c>
      <c r="M47" s="401">
        <f t="shared" si="5"/>
        <v>2663.7560743033891</v>
      </c>
      <c r="N47" s="401">
        <f t="shared" si="5"/>
        <v>2627.2949854611584</v>
      </c>
      <c r="O47" s="401">
        <f t="shared" si="5"/>
        <v>2753.9632848275141</v>
      </c>
      <c r="P47" s="161"/>
      <c r="Q47" s="161"/>
      <c r="R47" s="161"/>
      <c r="S47" s="161"/>
      <c r="T47" s="161"/>
      <c r="U47" s="161"/>
      <c r="V47" s="161"/>
    </row>
    <row r="48" spans="1:22" ht="15.75" customHeight="1" x14ac:dyDescent="0.25">
      <c r="A48" s="9"/>
      <c r="B48" s="11"/>
      <c r="C48" s="11"/>
      <c r="D48" s="11"/>
      <c r="E48" s="11"/>
      <c r="F48" s="11"/>
      <c r="G48" s="11"/>
      <c r="H48" s="11"/>
      <c r="I48" s="24"/>
      <c r="J48" s="24"/>
      <c r="K48" s="24"/>
      <c r="L48" s="24"/>
      <c r="M48" s="24"/>
      <c r="N48" s="24"/>
      <c r="O48" s="24"/>
      <c r="P48" s="24"/>
      <c r="Q48" s="24"/>
      <c r="R48" s="24"/>
      <c r="S48" s="24"/>
      <c r="T48" s="24"/>
      <c r="U48" s="24"/>
      <c r="V48" s="24"/>
    </row>
    <row r="49" spans="1:22" ht="15.75" customHeight="1" x14ac:dyDescent="0.25">
      <c r="A49" s="9"/>
      <c r="B49" s="41"/>
      <c r="C49" s="24"/>
      <c r="D49" s="24"/>
      <c r="E49" s="24"/>
      <c r="F49" s="24"/>
      <c r="G49" s="24"/>
      <c r="H49" s="24"/>
      <c r="I49" s="24"/>
      <c r="J49" s="24"/>
      <c r="K49" s="24"/>
      <c r="L49" s="24"/>
      <c r="M49" s="24"/>
      <c r="N49" s="24"/>
      <c r="O49" s="24"/>
      <c r="P49" s="24"/>
      <c r="Q49" s="24"/>
      <c r="R49" s="24"/>
      <c r="S49" s="24"/>
      <c r="T49" s="24"/>
      <c r="U49" s="24"/>
      <c r="V49" s="24"/>
    </row>
    <row r="50" spans="1:22" ht="15.75" customHeight="1" x14ac:dyDescent="0.25">
      <c r="A50" s="193"/>
      <c r="B50" s="11"/>
      <c r="C50" s="11"/>
      <c r="D50" s="11"/>
      <c r="E50" s="11"/>
      <c r="F50" s="11"/>
      <c r="G50" s="11"/>
      <c r="H50" s="11"/>
      <c r="I50" s="11"/>
      <c r="J50" s="11"/>
      <c r="K50" s="24"/>
      <c r="L50" s="24"/>
      <c r="M50" s="24"/>
      <c r="N50" s="410"/>
      <c r="O50" s="410"/>
      <c r="P50" s="24"/>
      <c r="Q50" s="24"/>
      <c r="R50" s="24"/>
      <c r="S50" s="24"/>
      <c r="T50" s="24"/>
      <c r="U50" s="24"/>
      <c r="V50" s="24"/>
    </row>
    <row r="51" spans="1:22" ht="15.75" customHeight="1" x14ac:dyDescent="0.25">
      <c r="A51" s="41"/>
      <c r="B51" s="11"/>
      <c r="C51" s="11"/>
      <c r="D51" s="11"/>
      <c r="E51" s="11"/>
      <c r="F51" s="11"/>
      <c r="G51" s="11"/>
      <c r="H51" s="11"/>
      <c r="I51" s="24"/>
      <c r="J51" s="11"/>
      <c r="K51" s="24"/>
      <c r="L51" s="24"/>
      <c r="M51" s="24"/>
      <c r="N51" s="410"/>
      <c r="O51" s="410"/>
      <c r="P51" s="24"/>
      <c r="Q51" s="24"/>
      <c r="R51" s="24"/>
      <c r="S51" s="24"/>
      <c r="T51" s="24"/>
      <c r="U51" s="24"/>
      <c r="V51" s="24"/>
    </row>
    <row r="52" spans="1:22" ht="15.75" customHeight="1" x14ac:dyDescent="0.25">
      <c r="A52" s="25"/>
      <c r="B52" s="11"/>
      <c r="C52" s="11"/>
      <c r="D52" s="11"/>
      <c r="E52" s="11"/>
      <c r="F52" s="24"/>
      <c r="G52" s="24"/>
      <c r="H52" s="24"/>
      <c r="I52" s="24"/>
      <c r="J52" s="24"/>
      <c r="K52" s="24"/>
      <c r="L52" s="24"/>
      <c r="M52" s="24"/>
      <c r="N52" s="24"/>
      <c r="O52" s="24"/>
      <c r="P52" s="24"/>
      <c r="Q52" s="24"/>
      <c r="R52" s="24"/>
      <c r="S52" s="24"/>
      <c r="T52" s="24"/>
      <c r="U52" s="24"/>
      <c r="V52" s="24"/>
    </row>
    <row r="53" spans="1:22" ht="15.75" customHeight="1" x14ac:dyDescent="0.25">
      <c r="A53" s="25"/>
      <c r="B53" s="24"/>
      <c r="C53" s="24"/>
      <c r="D53" s="24"/>
      <c r="E53" s="24"/>
      <c r="F53" s="24"/>
      <c r="G53" s="24"/>
      <c r="H53" s="24"/>
      <c r="I53" s="24"/>
      <c r="J53" s="24"/>
      <c r="K53" s="24"/>
      <c r="L53" s="24"/>
      <c r="M53" s="24"/>
      <c r="N53" s="24"/>
      <c r="O53" s="24"/>
      <c r="P53" s="24"/>
      <c r="Q53" s="24"/>
      <c r="R53" s="24"/>
      <c r="S53" s="24"/>
      <c r="T53" s="24"/>
      <c r="U53" s="24"/>
      <c r="V53" s="24"/>
    </row>
    <row r="54" spans="1:22" ht="15.75" customHeight="1" x14ac:dyDescent="0.25">
      <c r="A54" s="9"/>
      <c r="B54" s="24"/>
      <c r="C54" s="24"/>
      <c r="D54" s="24"/>
      <c r="E54" s="24"/>
      <c r="F54" s="24"/>
      <c r="G54" s="24"/>
      <c r="H54" s="24"/>
      <c r="I54" s="24"/>
      <c r="J54" s="24"/>
      <c r="K54" s="24"/>
      <c r="L54" s="24"/>
      <c r="M54" s="24"/>
      <c r="N54" s="24"/>
      <c r="O54" s="24"/>
      <c r="P54" s="24"/>
      <c r="Q54" s="24"/>
      <c r="R54" s="24"/>
      <c r="S54" s="24"/>
      <c r="T54" s="24"/>
      <c r="U54" s="24"/>
      <c r="V54" s="24"/>
    </row>
    <row r="55" spans="1:22" ht="15.75" customHeight="1" x14ac:dyDescent="0.25">
      <c r="A55" s="9"/>
      <c r="B55" s="24"/>
      <c r="C55" s="24"/>
      <c r="D55" s="24"/>
      <c r="E55" s="24"/>
      <c r="F55" s="24"/>
      <c r="G55" s="24"/>
      <c r="H55" s="24"/>
      <c r="I55" s="24"/>
      <c r="J55" s="24"/>
      <c r="K55" s="24"/>
      <c r="L55" s="24"/>
      <c r="M55" s="24"/>
      <c r="N55" s="24"/>
      <c r="O55" s="24"/>
      <c r="P55" s="24"/>
      <c r="Q55" s="24"/>
      <c r="R55" s="24"/>
      <c r="S55" s="24"/>
      <c r="T55" s="24"/>
      <c r="U55" s="24"/>
      <c r="V55" s="24"/>
    </row>
    <row r="56" spans="1:22" ht="15.75" customHeight="1" x14ac:dyDescent="0.25">
      <c r="A56" s="9"/>
      <c r="B56" s="24"/>
      <c r="C56" s="24"/>
      <c r="D56" s="24"/>
      <c r="E56" s="24"/>
      <c r="F56" s="24"/>
      <c r="G56" s="24"/>
      <c r="H56" s="24"/>
      <c r="I56" s="24"/>
      <c r="J56" s="24"/>
      <c r="K56" s="24"/>
      <c r="L56" s="24"/>
      <c r="M56" s="24"/>
      <c r="N56" s="24"/>
      <c r="O56" s="24"/>
      <c r="P56" s="24"/>
      <c r="Q56" s="24"/>
      <c r="R56" s="24"/>
      <c r="S56" s="24"/>
      <c r="T56" s="24"/>
      <c r="U56" s="24"/>
      <c r="V56" s="24"/>
    </row>
    <row r="57" spans="1:22" ht="15.75" customHeight="1" x14ac:dyDescent="0.25">
      <c r="A57" s="9"/>
      <c r="B57" s="24"/>
      <c r="C57" s="24"/>
      <c r="D57" s="24"/>
      <c r="E57" s="24"/>
      <c r="F57" s="24"/>
      <c r="G57" s="24"/>
      <c r="H57" s="24"/>
      <c r="I57" s="24"/>
      <c r="J57" s="24"/>
      <c r="K57" s="24"/>
      <c r="L57" s="24"/>
      <c r="M57" s="24"/>
      <c r="N57" s="24"/>
      <c r="O57" s="24"/>
      <c r="P57" s="24"/>
      <c r="Q57" s="24"/>
      <c r="R57" s="24"/>
      <c r="S57" s="24"/>
      <c r="T57" s="24"/>
      <c r="U57" s="24"/>
      <c r="V57" s="24"/>
    </row>
    <row r="58" spans="1:22" ht="15.75" customHeight="1" x14ac:dyDescent="0.25">
      <c r="A58" s="9"/>
      <c r="B58" s="24"/>
      <c r="C58" s="24"/>
      <c r="D58" s="24"/>
      <c r="E58" s="24"/>
      <c r="F58" s="24"/>
      <c r="G58" s="24"/>
      <c r="H58" s="24"/>
      <c r="I58" s="24"/>
      <c r="J58" s="24"/>
      <c r="K58" s="24"/>
      <c r="L58" s="24"/>
      <c r="M58" s="24"/>
      <c r="N58" s="24"/>
      <c r="O58" s="24"/>
      <c r="P58" s="24"/>
      <c r="Q58" s="24"/>
      <c r="R58" s="24"/>
      <c r="S58" s="24"/>
      <c r="T58" s="24"/>
      <c r="U58" s="24"/>
      <c r="V58" s="24"/>
    </row>
    <row r="59" spans="1:22" ht="15.75" customHeight="1" x14ac:dyDescent="0.25">
      <c r="A59" s="9"/>
      <c r="B59" s="24"/>
      <c r="C59" s="24"/>
      <c r="D59" s="24"/>
      <c r="E59" s="24"/>
      <c r="F59" s="24"/>
      <c r="G59" s="24"/>
      <c r="H59" s="24"/>
      <c r="I59" s="24"/>
      <c r="J59" s="24"/>
      <c r="K59" s="24"/>
      <c r="L59" s="24"/>
      <c r="M59" s="24"/>
      <c r="N59" s="24"/>
      <c r="O59" s="24"/>
      <c r="P59" s="24"/>
      <c r="Q59" s="24"/>
      <c r="R59" s="24"/>
      <c r="S59" s="24"/>
      <c r="T59" s="24"/>
      <c r="U59" s="24"/>
      <c r="V59" s="24"/>
    </row>
    <row r="60" spans="1:22" ht="15.75" customHeight="1" x14ac:dyDescent="0.25">
      <c r="A60" s="9"/>
      <c r="B60" s="24"/>
      <c r="C60" s="24"/>
      <c r="D60" s="24"/>
      <c r="E60" s="24"/>
      <c r="F60" s="24"/>
      <c r="G60" s="24"/>
      <c r="H60" s="24"/>
      <c r="I60" s="24"/>
      <c r="J60" s="24"/>
      <c r="K60" s="24"/>
      <c r="L60" s="24"/>
      <c r="M60" s="24"/>
      <c r="N60" s="24"/>
      <c r="O60" s="24"/>
      <c r="P60" s="24"/>
      <c r="Q60" s="24"/>
      <c r="R60" s="24"/>
      <c r="S60" s="24"/>
      <c r="T60" s="24"/>
      <c r="U60" s="24"/>
      <c r="V60" s="24"/>
    </row>
    <row r="61" spans="1:22" ht="15.75" customHeight="1" x14ac:dyDescent="0.25">
      <c r="A61" s="9"/>
      <c r="B61" s="24"/>
      <c r="C61" s="24"/>
      <c r="D61" s="24"/>
      <c r="E61" s="24"/>
      <c r="F61" s="24"/>
      <c r="G61" s="24"/>
      <c r="H61" s="24"/>
      <c r="I61" s="24"/>
      <c r="J61" s="24"/>
      <c r="K61" s="24"/>
      <c r="L61" s="24"/>
      <c r="M61" s="24"/>
      <c r="N61" s="24"/>
      <c r="O61" s="24"/>
      <c r="P61" s="24"/>
      <c r="Q61" s="24"/>
      <c r="R61" s="24"/>
      <c r="S61" s="24"/>
      <c r="T61" s="24"/>
      <c r="U61" s="24"/>
      <c r="V61" s="24"/>
    </row>
    <row r="62" spans="1:22" ht="15.75" customHeight="1" x14ac:dyDescent="0.25">
      <c r="A62" s="9"/>
      <c r="B62" s="24"/>
      <c r="C62" s="24"/>
      <c r="D62" s="24"/>
      <c r="E62" s="24"/>
      <c r="F62" s="24"/>
      <c r="G62" s="24"/>
      <c r="H62" s="24"/>
      <c r="I62" s="24"/>
      <c r="J62" s="24"/>
      <c r="K62" s="24"/>
      <c r="L62" s="24"/>
      <c r="M62" s="24"/>
      <c r="N62" s="24"/>
      <c r="O62" s="24"/>
      <c r="P62" s="24"/>
      <c r="Q62" s="24"/>
      <c r="R62" s="24"/>
      <c r="S62" s="24"/>
      <c r="T62" s="24"/>
      <c r="U62" s="24"/>
      <c r="V62" s="24"/>
    </row>
    <row r="63" spans="1:22" ht="15.75" customHeight="1" x14ac:dyDescent="0.25">
      <c r="A63" s="9"/>
      <c r="B63" s="24"/>
      <c r="C63" s="24"/>
      <c r="D63" s="24"/>
      <c r="E63" s="24"/>
      <c r="F63" s="24"/>
      <c r="G63" s="24"/>
      <c r="H63" s="24"/>
      <c r="I63" s="24"/>
      <c r="J63" s="24"/>
      <c r="K63" s="24"/>
      <c r="L63" s="24"/>
      <c r="M63" s="24"/>
      <c r="N63" s="24"/>
      <c r="O63" s="24"/>
      <c r="P63" s="24"/>
      <c r="Q63" s="24"/>
      <c r="R63" s="24"/>
      <c r="S63" s="24"/>
      <c r="T63" s="24"/>
      <c r="U63" s="24"/>
      <c r="V63" s="24"/>
    </row>
    <row r="64" spans="1:22" ht="15.75" customHeight="1" x14ac:dyDescent="0.25">
      <c r="A64" s="9"/>
      <c r="B64" s="24"/>
      <c r="C64" s="24"/>
      <c r="D64" s="24"/>
      <c r="E64" s="24"/>
      <c r="F64" s="24"/>
      <c r="G64" s="24"/>
      <c r="H64" s="24"/>
      <c r="I64" s="24"/>
      <c r="J64" s="24"/>
      <c r="K64" s="24"/>
      <c r="L64" s="24"/>
      <c r="M64" s="24"/>
      <c r="N64" s="24"/>
      <c r="O64" s="24"/>
      <c r="P64" s="24"/>
      <c r="Q64" s="24"/>
      <c r="R64" s="24"/>
      <c r="S64" s="24"/>
      <c r="T64" s="24"/>
      <c r="U64" s="24"/>
      <c r="V64" s="24"/>
    </row>
    <row r="65" spans="1:22" ht="15.75" customHeight="1" x14ac:dyDescent="0.25">
      <c r="A65" s="9"/>
      <c r="B65" s="24"/>
      <c r="C65" s="24"/>
      <c r="D65" s="24"/>
      <c r="E65" s="24"/>
      <c r="F65" s="24"/>
      <c r="G65" s="24"/>
      <c r="H65" s="24"/>
      <c r="I65" s="24"/>
      <c r="J65" s="24"/>
      <c r="K65" s="24"/>
      <c r="L65" s="24"/>
      <c r="M65" s="24"/>
      <c r="N65" s="24"/>
      <c r="O65" s="24"/>
      <c r="P65" s="24"/>
      <c r="Q65" s="24"/>
      <c r="R65" s="24"/>
      <c r="S65" s="24"/>
      <c r="T65" s="24"/>
      <c r="U65" s="24"/>
      <c r="V65" s="24"/>
    </row>
    <row r="66" spans="1:22" ht="15.75" customHeight="1" x14ac:dyDescent="0.25">
      <c r="A66" s="9"/>
      <c r="B66" s="24"/>
      <c r="C66" s="24"/>
      <c r="D66" s="24"/>
      <c r="E66" s="24"/>
      <c r="F66" s="24"/>
      <c r="G66" s="24"/>
      <c r="H66" s="24"/>
      <c r="I66" s="24"/>
      <c r="J66" s="24"/>
      <c r="K66" s="24"/>
      <c r="L66" s="24"/>
      <c r="M66" s="24"/>
      <c r="N66" s="24"/>
      <c r="O66" s="24"/>
      <c r="P66" s="24"/>
      <c r="Q66" s="24"/>
      <c r="R66" s="24"/>
      <c r="S66" s="24"/>
      <c r="T66" s="24"/>
      <c r="U66" s="24"/>
      <c r="V66" s="24"/>
    </row>
    <row r="67" spans="1:22" ht="15.75" customHeight="1" x14ac:dyDescent="0.25">
      <c r="A67" s="9"/>
      <c r="B67" s="24"/>
      <c r="C67" s="24"/>
      <c r="D67" s="24"/>
      <c r="E67" s="24"/>
      <c r="F67" s="24"/>
      <c r="G67" s="24"/>
      <c r="H67" s="24"/>
      <c r="I67" s="24"/>
      <c r="J67" s="24"/>
      <c r="K67" s="24"/>
      <c r="L67" s="24"/>
      <c r="M67" s="24"/>
      <c r="N67" s="24"/>
      <c r="O67" s="24"/>
      <c r="P67" s="24"/>
      <c r="Q67" s="24"/>
      <c r="R67" s="24"/>
      <c r="S67" s="24"/>
      <c r="T67" s="24"/>
      <c r="U67" s="24"/>
      <c r="V67" s="24"/>
    </row>
    <row r="68" spans="1:22" ht="15.75" customHeight="1" x14ac:dyDescent="0.25">
      <c r="A68" s="9"/>
      <c r="B68" s="24"/>
      <c r="C68" s="24"/>
      <c r="D68" s="24"/>
      <c r="E68" s="24"/>
      <c r="F68" s="24"/>
      <c r="G68" s="24"/>
      <c r="H68" s="24"/>
      <c r="I68" s="24"/>
      <c r="J68" s="24"/>
      <c r="K68" s="24"/>
      <c r="L68" s="24"/>
      <c r="M68" s="24"/>
      <c r="N68" s="24"/>
      <c r="O68" s="24"/>
      <c r="P68" s="24"/>
      <c r="Q68" s="24"/>
      <c r="R68" s="24"/>
      <c r="S68" s="24"/>
      <c r="T68" s="24"/>
      <c r="U68" s="24"/>
      <c r="V68" s="24"/>
    </row>
    <row r="69" spans="1:22" ht="15.75" customHeight="1" x14ac:dyDescent="0.25">
      <c r="A69" s="9"/>
      <c r="B69" s="24"/>
      <c r="C69" s="24"/>
      <c r="D69" s="24"/>
      <c r="E69" s="24"/>
      <c r="F69" s="24"/>
      <c r="G69" s="24"/>
      <c r="H69" s="24"/>
      <c r="I69" s="24"/>
      <c r="J69" s="24"/>
      <c r="K69" s="24"/>
      <c r="L69" s="24"/>
      <c r="M69" s="24"/>
      <c r="N69" s="24"/>
      <c r="O69" s="24"/>
      <c r="P69" s="24"/>
      <c r="Q69" s="24"/>
      <c r="R69" s="24"/>
      <c r="S69" s="24"/>
      <c r="T69" s="24"/>
      <c r="U69" s="24"/>
      <c r="V69" s="24"/>
    </row>
    <row r="70" spans="1:22" ht="15.75" customHeight="1" x14ac:dyDescent="0.25">
      <c r="A70" s="9"/>
      <c r="B70" s="24"/>
      <c r="C70" s="24"/>
      <c r="D70" s="24"/>
      <c r="E70" s="24"/>
      <c r="F70" s="24"/>
      <c r="G70" s="24"/>
      <c r="H70" s="24"/>
      <c r="I70" s="24"/>
      <c r="J70" s="24"/>
      <c r="K70" s="24"/>
      <c r="L70" s="24"/>
      <c r="M70" s="24"/>
      <c r="N70" s="24"/>
      <c r="O70" s="24"/>
      <c r="P70" s="24"/>
      <c r="Q70" s="24"/>
      <c r="R70" s="24"/>
      <c r="S70" s="24"/>
      <c r="T70" s="24"/>
      <c r="U70" s="24"/>
      <c r="V70" s="24"/>
    </row>
    <row r="71" spans="1:22" ht="15.75" customHeight="1" x14ac:dyDescent="0.25">
      <c r="A71" s="9"/>
      <c r="B71" s="24"/>
      <c r="C71" s="24"/>
      <c r="D71" s="24"/>
      <c r="E71" s="24"/>
      <c r="F71" s="24"/>
      <c r="G71" s="24"/>
      <c r="H71" s="24"/>
      <c r="I71" s="24"/>
      <c r="J71" s="24"/>
      <c r="K71" s="24"/>
      <c r="L71" s="24"/>
      <c r="M71" s="24"/>
      <c r="N71" s="24"/>
      <c r="O71" s="24"/>
      <c r="P71" s="24"/>
      <c r="Q71" s="24"/>
      <c r="R71" s="24"/>
      <c r="S71" s="24"/>
      <c r="T71" s="24"/>
      <c r="U71" s="24"/>
      <c r="V71" s="24"/>
    </row>
    <row r="72" spans="1:22" ht="15.75" customHeight="1" x14ac:dyDescent="0.25">
      <c r="A72" s="9"/>
      <c r="B72" s="24"/>
      <c r="C72" s="24"/>
      <c r="D72" s="24"/>
      <c r="E72" s="24"/>
      <c r="F72" s="24"/>
      <c r="G72" s="24"/>
      <c r="H72" s="24"/>
      <c r="I72" s="24"/>
      <c r="J72" s="24"/>
      <c r="K72" s="24"/>
      <c r="L72" s="24"/>
      <c r="M72" s="24"/>
      <c r="N72" s="24"/>
      <c r="O72" s="24"/>
      <c r="P72" s="24"/>
      <c r="Q72" s="24"/>
      <c r="R72" s="24"/>
      <c r="S72" s="24"/>
      <c r="T72" s="24"/>
      <c r="U72" s="24"/>
      <c r="V72" s="24"/>
    </row>
    <row r="73" spans="1:22" ht="15.75" customHeight="1" x14ac:dyDescent="0.25">
      <c r="A73" s="9"/>
      <c r="B73" s="24"/>
      <c r="C73" s="24"/>
      <c r="D73" s="24"/>
      <c r="E73" s="24"/>
      <c r="F73" s="24"/>
      <c r="G73" s="24"/>
      <c r="H73" s="24"/>
      <c r="I73" s="24"/>
      <c r="J73" s="24"/>
      <c r="K73" s="24"/>
      <c r="L73" s="24"/>
      <c r="M73" s="24"/>
      <c r="N73" s="24"/>
      <c r="O73" s="24"/>
      <c r="P73" s="24"/>
      <c r="Q73" s="24"/>
      <c r="R73" s="24"/>
      <c r="S73" s="24"/>
      <c r="T73" s="24"/>
      <c r="U73" s="24"/>
      <c r="V73" s="24"/>
    </row>
    <row r="74" spans="1:22" ht="15.75" customHeight="1" x14ac:dyDescent="0.25">
      <c r="A74" s="9"/>
      <c r="B74" s="24"/>
      <c r="C74" s="24"/>
      <c r="D74" s="24"/>
      <c r="E74" s="24"/>
      <c r="F74" s="24"/>
      <c r="G74" s="24"/>
      <c r="H74" s="24"/>
      <c r="I74" s="24"/>
      <c r="J74" s="24"/>
      <c r="K74" s="24"/>
      <c r="L74" s="24"/>
      <c r="M74" s="24"/>
      <c r="N74" s="24"/>
      <c r="O74" s="24"/>
      <c r="P74" s="24"/>
      <c r="Q74" s="24"/>
      <c r="R74" s="24"/>
      <c r="S74" s="24"/>
      <c r="T74" s="24"/>
      <c r="U74" s="24"/>
      <c r="V74" s="24"/>
    </row>
  </sheetData>
  <mergeCells count="2">
    <mergeCell ref="B1:O1"/>
    <mergeCell ref="Q9:U2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6"/>
  <sheetViews>
    <sheetView workbookViewId="0">
      <pane ySplit="2" topLeftCell="A3" activePane="bottomLeft" state="frozen"/>
      <selection pane="bottomLeft" activeCell="B4" sqref="B4"/>
    </sheetView>
  </sheetViews>
  <sheetFormatPr defaultColWidth="17.25" defaultRowHeight="15" customHeight="1" x14ac:dyDescent="0.2"/>
  <cols>
    <col min="1" max="1" width="23.75" customWidth="1"/>
    <col min="2" max="2" width="11.375" customWidth="1"/>
    <col min="3" max="3" width="8.125" customWidth="1"/>
    <col min="4" max="4" width="9.875" customWidth="1"/>
    <col min="5" max="5" width="12.75" customWidth="1"/>
    <col min="6" max="6" width="10.625" customWidth="1"/>
    <col min="7" max="7" width="10.25" customWidth="1"/>
    <col min="8" max="8" width="12.875" customWidth="1"/>
    <col min="9" max="9" width="8.875" customWidth="1"/>
    <col min="10" max="10" width="17.625" customWidth="1"/>
    <col min="11" max="11" width="11.125" customWidth="1"/>
    <col min="12" max="13" width="8.875" customWidth="1"/>
    <col min="14" max="14" width="8" customWidth="1"/>
    <col min="15" max="15" width="10.125" customWidth="1"/>
    <col min="16" max="25" width="8" customWidth="1"/>
  </cols>
  <sheetData>
    <row r="1" spans="1:25" ht="18" customHeight="1" x14ac:dyDescent="0.25">
      <c r="A1" s="7"/>
      <c r="B1" s="640" t="s">
        <v>64</v>
      </c>
      <c r="C1" s="623"/>
      <c r="D1" s="623"/>
      <c r="E1" s="623"/>
      <c r="F1" s="623"/>
      <c r="G1" s="623"/>
      <c r="H1" s="623"/>
      <c r="I1" s="623"/>
      <c r="J1" s="623"/>
      <c r="K1" s="623"/>
      <c r="L1" s="623"/>
      <c r="M1" s="623"/>
      <c r="N1" s="623"/>
      <c r="O1" s="623"/>
      <c r="P1" s="75"/>
      <c r="Q1" s="75"/>
      <c r="R1" s="75"/>
      <c r="S1" s="75"/>
      <c r="T1" s="75"/>
      <c r="U1" s="75"/>
      <c r="V1" s="75"/>
      <c r="W1" s="75"/>
      <c r="X1" s="75"/>
      <c r="Y1" s="75"/>
    </row>
    <row r="2" spans="1:25" ht="15.75" customHeight="1" x14ac:dyDescent="0.2">
      <c r="A2" s="77"/>
      <c r="B2" s="78">
        <v>1984</v>
      </c>
      <c r="C2" s="78">
        <v>1988</v>
      </c>
      <c r="D2" s="78">
        <v>1990</v>
      </c>
      <c r="E2" s="78">
        <v>1992</v>
      </c>
      <c r="F2" s="78">
        <v>1996</v>
      </c>
      <c r="G2" s="78">
        <v>1998</v>
      </c>
      <c r="H2" s="78">
        <v>2000</v>
      </c>
      <c r="I2" s="78">
        <v>2004</v>
      </c>
      <c r="J2" s="78">
        <v>2008</v>
      </c>
      <c r="K2" s="78">
        <v>2010</v>
      </c>
      <c r="L2" s="78">
        <v>2011</v>
      </c>
      <c r="M2" s="78">
        <v>2012</v>
      </c>
      <c r="N2" s="78">
        <v>2013</v>
      </c>
      <c r="O2" s="80">
        <v>2014</v>
      </c>
      <c r="P2" s="80"/>
      <c r="Q2" s="80"/>
      <c r="R2" s="80"/>
      <c r="S2" s="80"/>
      <c r="T2" s="80"/>
      <c r="U2" s="80"/>
      <c r="V2" s="80"/>
      <c r="W2" s="80"/>
      <c r="X2" s="80"/>
      <c r="Y2" s="80"/>
    </row>
    <row r="3" spans="1:25" ht="15.75" customHeight="1" x14ac:dyDescent="0.25">
      <c r="A3" s="118" t="s">
        <v>81</v>
      </c>
      <c r="B3" s="81"/>
      <c r="C3" s="81"/>
      <c r="D3" s="81"/>
      <c r="E3" s="11"/>
      <c r="F3" s="81"/>
      <c r="G3" s="11"/>
      <c r="H3" s="31"/>
      <c r="I3" s="11"/>
      <c r="J3" s="11">
        <v>51.7</v>
      </c>
      <c r="K3" s="11">
        <v>59.2</v>
      </c>
      <c r="L3" s="11">
        <v>984.3</v>
      </c>
      <c r="M3" s="11">
        <v>1054.3</v>
      </c>
      <c r="N3" s="137">
        <v>1371.4</v>
      </c>
      <c r="O3" s="137">
        <v>1736.2</v>
      </c>
      <c r="P3" s="138"/>
      <c r="U3" s="138"/>
      <c r="V3" s="138"/>
      <c r="W3" s="138"/>
      <c r="X3" s="138"/>
      <c r="Y3" s="138"/>
    </row>
    <row r="4" spans="1:25" ht="15.75" customHeight="1" x14ac:dyDescent="0.25">
      <c r="A4" s="118" t="s">
        <v>204</v>
      </c>
      <c r="B4" s="11"/>
      <c r="C4" s="11">
        <v>20.100000000000001</v>
      </c>
      <c r="D4" s="81">
        <v>78.5</v>
      </c>
      <c r="E4" s="81">
        <v>88.9</v>
      </c>
      <c r="F4" s="81">
        <v>110.1</v>
      </c>
      <c r="G4" s="81">
        <v>131.30000000000001</v>
      </c>
      <c r="H4" s="11">
        <v>207.7</v>
      </c>
      <c r="I4" s="11">
        <v>370.8</v>
      </c>
      <c r="J4" s="11">
        <v>490.9</v>
      </c>
      <c r="K4" s="11">
        <f>527.9-4.2</f>
        <v>523.69999999999993</v>
      </c>
      <c r="L4" s="11">
        <f>557.9-4</f>
        <v>553.9</v>
      </c>
      <c r="M4" s="11">
        <v>561.6</v>
      </c>
      <c r="N4" s="11" t="s">
        <v>1</v>
      </c>
      <c r="O4" s="24"/>
      <c r="P4" s="24"/>
      <c r="U4" s="24"/>
      <c r="V4" s="24"/>
      <c r="W4" s="24"/>
      <c r="X4" s="24"/>
      <c r="Y4" s="24"/>
    </row>
    <row r="5" spans="1:25" ht="15.75" customHeight="1" x14ac:dyDescent="0.25">
      <c r="A5" s="118" t="s">
        <v>212</v>
      </c>
      <c r="B5" s="81"/>
      <c r="C5" s="81"/>
      <c r="D5" s="81"/>
      <c r="E5" s="11"/>
      <c r="F5" s="81"/>
      <c r="G5" s="11"/>
      <c r="H5" s="11"/>
      <c r="I5" s="11"/>
      <c r="J5" s="11">
        <v>675.7</v>
      </c>
      <c r="K5" s="11">
        <v>758.2</v>
      </c>
      <c r="L5" s="11" t="s">
        <v>1</v>
      </c>
      <c r="M5" s="11"/>
      <c r="N5" s="11"/>
      <c r="O5" s="24"/>
      <c r="P5" s="24"/>
      <c r="Q5" s="24"/>
      <c r="R5" s="24"/>
      <c r="S5" s="24"/>
      <c r="T5" s="24"/>
      <c r="U5" s="24"/>
      <c r="V5" s="24"/>
      <c r="W5" s="24"/>
      <c r="X5" s="24"/>
      <c r="Y5" s="24"/>
    </row>
    <row r="6" spans="1:25" ht="15.75" customHeight="1" x14ac:dyDescent="0.25">
      <c r="A6" s="5" t="s">
        <v>218</v>
      </c>
      <c r="B6" s="81"/>
      <c r="C6" s="81"/>
      <c r="D6" s="11"/>
      <c r="E6" s="81"/>
      <c r="F6" s="81"/>
      <c r="G6" s="11"/>
      <c r="H6" s="11">
        <v>12.3</v>
      </c>
      <c r="I6" s="11">
        <v>297.89999999999998</v>
      </c>
      <c r="J6" s="11" t="s">
        <v>222</v>
      </c>
      <c r="K6" s="11"/>
      <c r="L6" s="11"/>
      <c r="M6" s="11"/>
      <c r="N6" s="11"/>
      <c r="O6" s="24"/>
      <c r="P6" s="24"/>
      <c r="Q6" s="24"/>
      <c r="R6" s="24"/>
      <c r="S6" s="24"/>
      <c r="T6" s="24"/>
      <c r="U6" s="24"/>
      <c r="V6" s="24"/>
      <c r="W6" s="24"/>
      <c r="X6" s="24"/>
      <c r="Y6" s="24"/>
    </row>
    <row r="7" spans="1:25" ht="15.75" customHeight="1" x14ac:dyDescent="0.25">
      <c r="A7" s="5" t="s">
        <v>223</v>
      </c>
      <c r="B7" s="81"/>
      <c r="C7" s="81">
        <v>5</v>
      </c>
      <c r="D7" s="81">
        <v>12</v>
      </c>
      <c r="E7" s="11">
        <v>15.9</v>
      </c>
      <c r="F7" s="81">
        <v>42.9</v>
      </c>
      <c r="G7" s="11">
        <v>62</v>
      </c>
      <c r="H7" s="11">
        <v>98.4</v>
      </c>
      <c r="I7" s="11">
        <v>184.9</v>
      </c>
      <c r="J7" s="11" t="s">
        <v>225</v>
      </c>
      <c r="K7" s="11"/>
      <c r="L7" s="11"/>
      <c r="M7" s="11"/>
      <c r="N7" s="11"/>
      <c r="O7" s="24"/>
      <c r="P7" s="24"/>
      <c r="Q7" s="24"/>
      <c r="R7" s="24"/>
      <c r="S7" s="24"/>
      <c r="T7" s="24"/>
      <c r="U7" s="24"/>
      <c r="V7" s="24"/>
      <c r="W7" s="24"/>
      <c r="X7" s="24"/>
      <c r="Y7" s="24"/>
    </row>
    <row r="8" spans="1:25" ht="15.75" customHeight="1" x14ac:dyDescent="0.25">
      <c r="A8" s="118" t="s">
        <v>230</v>
      </c>
      <c r="B8" s="81"/>
      <c r="C8" s="81"/>
      <c r="D8" s="81"/>
      <c r="E8" s="11"/>
      <c r="F8" s="81"/>
      <c r="G8" s="11">
        <v>80.2</v>
      </c>
      <c r="H8" s="11">
        <v>118</v>
      </c>
      <c r="I8" s="11" t="s">
        <v>231</v>
      </c>
      <c r="J8" s="11"/>
      <c r="K8" s="11"/>
      <c r="L8" s="11"/>
      <c r="M8" s="11"/>
      <c r="N8" s="11"/>
      <c r="O8" s="24"/>
      <c r="P8" s="24"/>
      <c r="Q8" s="24"/>
      <c r="R8" s="626" t="s">
        <v>8</v>
      </c>
      <c r="S8" s="623"/>
      <c r="T8" s="623"/>
      <c r="U8" s="623"/>
      <c r="V8" s="623"/>
      <c r="W8" s="623"/>
      <c r="X8" s="24"/>
      <c r="Y8" s="24"/>
    </row>
    <row r="9" spans="1:25" ht="15.75" customHeight="1" x14ac:dyDescent="0.25">
      <c r="A9" s="118" t="s">
        <v>232</v>
      </c>
      <c r="B9" s="81"/>
      <c r="C9" s="81">
        <v>31.1</v>
      </c>
      <c r="D9" s="81">
        <v>77.900000000000006</v>
      </c>
      <c r="E9" s="11">
        <v>95.1</v>
      </c>
      <c r="F9" s="81">
        <v>203.6</v>
      </c>
      <c r="G9" s="11">
        <v>236.9</v>
      </c>
      <c r="H9" s="11" t="s">
        <v>188</v>
      </c>
      <c r="I9" s="11"/>
      <c r="J9" s="11"/>
      <c r="K9" s="11"/>
      <c r="L9" s="11"/>
      <c r="M9" s="11"/>
      <c r="N9" s="11"/>
      <c r="O9" s="24"/>
      <c r="P9" s="24"/>
      <c r="Q9" s="24"/>
      <c r="R9" s="623"/>
      <c r="S9" s="623"/>
      <c r="T9" s="623"/>
      <c r="U9" s="623"/>
      <c r="V9" s="623"/>
      <c r="W9" s="623"/>
      <c r="X9" s="24"/>
      <c r="Y9" s="24"/>
    </row>
    <row r="10" spans="1:25" ht="15.75" customHeight="1" x14ac:dyDescent="0.25">
      <c r="A10" s="5" t="s">
        <v>233</v>
      </c>
      <c r="B10" s="81"/>
      <c r="C10" s="81"/>
      <c r="D10" s="81"/>
      <c r="E10" s="11"/>
      <c r="F10" s="11">
        <f t="shared" ref="F10:N10" si="0">SUM(F11:F12)</f>
        <v>24.6</v>
      </c>
      <c r="G10" s="11">
        <f t="shared" si="0"/>
        <v>79.400000000000006</v>
      </c>
      <c r="H10" s="11">
        <f t="shared" si="0"/>
        <v>143</v>
      </c>
      <c r="I10" s="11">
        <f t="shared" si="0"/>
        <v>328.6</v>
      </c>
      <c r="J10" s="11">
        <f t="shared" si="0"/>
        <v>447.86845</v>
      </c>
      <c r="K10" s="11">
        <f t="shared" si="0"/>
        <v>952.77295000000004</v>
      </c>
      <c r="L10" s="11">
        <f t="shared" si="0"/>
        <v>1039.9950699999999</v>
      </c>
      <c r="M10" s="11">
        <f t="shared" si="0"/>
        <v>1042.77295</v>
      </c>
      <c r="N10" s="11">
        <f t="shared" si="0"/>
        <v>1065.2012</v>
      </c>
      <c r="O10" s="24">
        <f>O11+O12</f>
        <v>1117.8</v>
      </c>
      <c r="P10" s="24"/>
      <c r="Q10" s="24"/>
      <c r="R10" s="623"/>
      <c r="S10" s="623"/>
      <c r="T10" s="623"/>
      <c r="U10" s="623"/>
      <c r="V10" s="623"/>
      <c r="W10" s="623"/>
      <c r="X10" s="24"/>
      <c r="Y10" s="24"/>
    </row>
    <row r="11" spans="1:25" ht="15.75" customHeight="1" x14ac:dyDescent="0.25">
      <c r="A11" s="153" t="s">
        <v>238</v>
      </c>
      <c r="B11" s="154"/>
      <c r="C11" s="154"/>
      <c r="D11" s="154"/>
      <c r="E11" s="154"/>
      <c r="F11" s="154"/>
      <c r="G11" s="154"/>
      <c r="H11" s="154"/>
      <c r="I11" s="154">
        <v>16.7</v>
      </c>
      <c r="J11" s="154">
        <v>62</v>
      </c>
      <c r="K11" s="154">
        <v>482.7</v>
      </c>
      <c r="L11" s="154">
        <v>540</v>
      </c>
      <c r="M11" s="154">
        <v>547.4</v>
      </c>
      <c r="N11" s="154">
        <v>544</v>
      </c>
      <c r="O11" s="106">
        <v>582.9</v>
      </c>
      <c r="P11" s="161"/>
      <c r="Q11" s="161"/>
      <c r="R11" s="623"/>
      <c r="S11" s="623"/>
      <c r="T11" s="623"/>
      <c r="U11" s="623"/>
      <c r="V11" s="623"/>
      <c r="W11" s="623"/>
      <c r="X11" s="161"/>
      <c r="Y11" s="161"/>
    </row>
    <row r="12" spans="1:25" ht="15.75" customHeight="1" x14ac:dyDescent="0.25">
      <c r="A12" s="153" t="s">
        <v>270</v>
      </c>
      <c r="B12" s="154"/>
      <c r="C12" s="154"/>
      <c r="D12" s="154"/>
      <c r="E12" s="154"/>
      <c r="F12" s="154">
        <v>24.6</v>
      </c>
      <c r="G12" s="154">
        <v>79.400000000000006</v>
      </c>
      <c r="H12" s="154">
        <v>143</v>
      </c>
      <c r="I12" s="154">
        <v>311.90000000000003</v>
      </c>
      <c r="J12" s="154">
        <v>385.86845</v>
      </c>
      <c r="K12" s="154">
        <v>470.07294999999999</v>
      </c>
      <c r="L12" s="154">
        <v>499.99507</v>
      </c>
      <c r="M12" s="154">
        <v>495.37295</v>
      </c>
      <c r="N12" s="154">
        <v>521.20119999999997</v>
      </c>
      <c r="O12" s="163">
        <v>534.9</v>
      </c>
      <c r="P12" s="161"/>
      <c r="Q12" s="161"/>
      <c r="R12" s="623"/>
      <c r="S12" s="623"/>
      <c r="T12" s="623"/>
      <c r="U12" s="623"/>
      <c r="V12" s="623"/>
      <c r="W12" s="623"/>
      <c r="X12" s="161"/>
      <c r="Y12" s="161"/>
    </row>
    <row r="13" spans="1:25" ht="15.75" customHeight="1" x14ac:dyDescent="0.25">
      <c r="A13" s="5" t="s">
        <v>276</v>
      </c>
      <c r="B13" s="81"/>
      <c r="C13" s="81"/>
      <c r="D13" s="81"/>
      <c r="E13" s="11"/>
      <c r="F13" s="11"/>
      <c r="G13" s="11">
        <v>3.4</v>
      </c>
      <c r="H13" s="81">
        <v>17.3</v>
      </c>
      <c r="I13" s="11">
        <v>40.700000000000003</v>
      </c>
      <c r="J13" s="11">
        <v>476.7</v>
      </c>
      <c r="K13" s="11" t="s">
        <v>16</v>
      </c>
      <c r="L13" s="11"/>
      <c r="M13" s="11"/>
      <c r="N13" s="11"/>
      <c r="O13" s="24"/>
      <c r="P13" s="24"/>
      <c r="Q13" s="24"/>
      <c r="R13" s="623"/>
      <c r="S13" s="623"/>
      <c r="T13" s="623"/>
      <c r="U13" s="623"/>
      <c r="V13" s="623"/>
      <c r="W13" s="623"/>
      <c r="X13" s="24"/>
      <c r="Y13" s="24"/>
    </row>
    <row r="14" spans="1:25" ht="15.75" customHeight="1" x14ac:dyDescent="0.25">
      <c r="A14" s="5" t="s">
        <v>278</v>
      </c>
      <c r="B14" s="81"/>
      <c r="C14" s="81"/>
      <c r="D14" s="81"/>
      <c r="E14" s="81"/>
      <c r="F14" s="81">
        <v>18</v>
      </c>
      <c r="G14" s="11">
        <v>77.2</v>
      </c>
      <c r="H14" s="11">
        <v>101.3</v>
      </c>
      <c r="I14" s="11">
        <v>239.1</v>
      </c>
      <c r="J14" s="11" t="s">
        <v>279</v>
      </c>
      <c r="K14" s="11"/>
      <c r="L14" s="11"/>
      <c r="M14" s="11"/>
      <c r="N14" s="11"/>
      <c r="O14" s="24"/>
      <c r="P14" s="24"/>
      <c r="Q14" s="24"/>
      <c r="R14" s="623"/>
      <c r="S14" s="623"/>
      <c r="T14" s="623"/>
      <c r="U14" s="623"/>
      <c r="V14" s="623"/>
      <c r="W14" s="623"/>
      <c r="X14" s="24"/>
      <c r="Y14" s="24"/>
    </row>
    <row r="15" spans="1:25" ht="15.75" customHeight="1" x14ac:dyDescent="0.25">
      <c r="A15" s="5" t="s">
        <v>280</v>
      </c>
      <c r="B15" s="81"/>
      <c r="C15" s="81"/>
      <c r="D15" s="81">
        <v>6.9</v>
      </c>
      <c r="E15" s="11">
        <v>29.3</v>
      </c>
      <c r="F15" s="81">
        <v>31.8</v>
      </c>
      <c r="G15" s="11">
        <v>54.3</v>
      </c>
      <c r="H15" s="11" t="s">
        <v>281</v>
      </c>
      <c r="I15" s="11"/>
      <c r="J15" s="11"/>
      <c r="K15" s="11"/>
      <c r="L15" s="11"/>
      <c r="M15" s="11"/>
      <c r="N15" s="11"/>
      <c r="O15" s="24"/>
      <c r="P15" s="24"/>
      <c r="Q15" s="24"/>
      <c r="R15" s="623"/>
      <c r="S15" s="623"/>
      <c r="T15" s="623"/>
      <c r="U15" s="623"/>
      <c r="V15" s="623"/>
      <c r="W15" s="623"/>
      <c r="X15" s="24"/>
      <c r="Y15" s="24"/>
    </row>
    <row r="16" spans="1:25" ht="15.75" customHeight="1" x14ac:dyDescent="0.25">
      <c r="A16" s="5" t="s">
        <v>282</v>
      </c>
      <c r="B16" s="81"/>
      <c r="C16" s="81"/>
      <c r="D16" s="81">
        <v>7.5</v>
      </c>
      <c r="E16" s="11">
        <v>8.9</v>
      </c>
      <c r="F16" s="81">
        <v>34.700000000000003</v>
      </c>
      <c r="G16" s="11" t="s">
        <v>283</v>
      </c>
      <c r="H16" s="11"/>
      <c r="I16" s="11"/>
      <c r="J16" s="11"/>
      <c r="K16" s="11"/>
      <c r="L16" s="11"/>
      <c r="M16" s="11"/>
      <c r="N16" s="11"/>
      <c r="O16" s="24"/>
      <c r="P16" s="24"/>
      <c r="Q16" s="24"/>
      <c r="R16" s="623"/>
      <c r="S16" s="623"/>
      <c r="T16" s="623"/>
      <c r="U16" s="623"/>
      <c r="V16" s="623"/>
      <c r="W16" s="623"/>
      <c r="X16" s="24"/>
      <c r="Y16" s="24"/>
    </row>
    <row r="17" spans="1:25" ht="15.75" customHeight="1" x14ac:dyDescent="0.25">
      <c r="A17" s="5" t="s">
        <v>284</v>
      </c>
      <c r="B17" s="81"/>
      <c r="C17" s="81">
        <v>18.7</v>
      </c>
      <c r="D17" s="81">
        <v>19.100000000000001</v>
      </c>
      <c r="E17" s="11" t="s">
        <v>285</v>
      </c>
      <c r="F17" s="81"/>
      <c r="G17" s="11"/>
      <c r="H17" s="11"/>
      <c r="I17" s="11"/>
      <c r="J17" s="11"/>
      <c r="K17" s="11"/>
      <c r="L17" s="11"/>
      <c r="M17" s="11"/>
      <c r="N17" s="11"/>
      <c r="O17" s="24"/>
      <c r="P17" s="24"/>
      <c r="Q17" s="24"/>
      <c r="R17" s="623"/>
      <c r="S17" s="623"/>
      <c r="T17" s="623"/>
      <c r="U17" s="623"/>
      <c r="V17" s="623"/>
      <c r="W17" s="623"/>
      <c r="X17" s="24"/>
      <c r="Y17" s="24"/>
    </row>
    <row r="18" spans="1:25" ht="15.75" customHeight="1" x14ac:dyDescent="0.25">
      <c r="A18" s="5" t="s">
        <v>286</v>
      </c>
      <c r="B18" s="81"/>
      <c r="C18" s="81">
        <v>43.3</v>
      </c>
      <c r="D18" s="81">
        <f>(C18+E18)/2</f>
        <v>45.599999999999994</v>
      </c>
      <c r="E18" s="11">
        <v>47.9</v>
      </c>
      <c r="F18" s="11">
        <v>19.8</v>
      </c>
      <c r="G18" s="11">
        <v>26</v>
      </c>
      <c r="H18" s="11">
        <v>74.900000000000006</v>
      </c>
      <c r="I18" s="11">
        <v>109.9</v>
      </c>
      <c r="J18" s="11">
        <v>278.2</v>
      </c>
      <c r="K18" s="11">
        <v>359.2</v>
      </c>
      <c r="L18" s="11">
        <v>420.8</v>
      </c>
      <c r="M18" s="11">
        <v>452.7</v>
      </c>
      <c r="N18" s="137">
        <v>470</v>
      </c>
      <c r="O18" s="160">
        <v>516.4</v>
      </c>
      <c r="P18" s="24"/>
      <c r="Q18" s="24"/>
      <c r="R18" s="623"/>
      <c r="S18" s="623"/>
      <c r="T18" s="623"/>
      <c r="U18" s="623"/>
      <c r="V18" s="623"/>
      <c r="W18" s="623"/>
      <c r="X18" s="24"/>
      <c r="Y18" s="24"/>
    </row>
    <row r="19" spans="1:25" ht="15.75" customHeight="1" x14ac:dyDescent="0.25">
      <c r="A19" s="5" t="s">
        <v>287</v>
      </c>
      <c r="B19" s="81"/>
      <c r="C19" s="81"/>
      <c r="D19" s="81">
        <v>24.6</v>
      </c>
      <c r="E19" s="11">
        <v>29.6</v>
      </c>
      <c r="F19" s="11">
        <v>56.6</v>
      </c>
      <c r="G19" s="11">
        <v>87.4</v>
      </c>
      <c r="H19" s="11">
        <v>97</v>
      </c>
      <c r="I19" s="11">
        <v>123</v>
      </c>
      <c r="J19" s="11">
        <v>143.5</v>
      </c>
      <c r="K19" s="11">
        <v>166.7</v>
      </c>
      <c r="L19" s="11">
        <v>159.5</v>
      </c>
      <c r="M19" s="11">
        <v>167.8</v>
      </c>
      <c r="N19" s="11">
        <v>160.9</v>
      </c>
      <c r="O19" s="160">
        <v>172.9</v>
      </c>
      <c r="P19" s="24"/>
      <c r="Q19" s="24"/>
      <c r="R19" s="24"/>
      <c r="S19" s="24"/>
      <c r="T19" s="24"/>
      <c r="U19" s="24"/>
      <c r="V19" s="24"/>
      <c r="W19" s="24"/>
      <c r="X19" s="24"/>
      <c r="Y19" s="24"/>
    </row>
    <row r="20" spans="1:25" ht="15.75" customHeight="1" x14ac:dyDescent="0.25">
      <c r="A20" s="5" t="s">
        <v>288</v>
      </c>
      <c r="B20" s="81"/>
      <c r="C20" s="81"/>
      <c r="D20" s="81"/>
      <c r="E20" s="81"/>
      <c r="F20" s="81"/>
      <c r="G20" s="11">
        <v>6.2</v>
      </c>
      <c r="H20" s="11">
        <v>8.9</v>
      </c>
      <c r="I20" s="11">
        <v>26.6</v>
      </c>
      <c r="J20" s="11">
        <v>56.6</v>
      </c>
      <c r="K20" s="11">
        <v>92.7</v>
      </c>
      <c r="L20" s="11">
        <v>113</v>
      </c>
      <c r="M20" s="11">
        <v>136.6</v>
      </c>
      <c r="N20" s="11">
        <v>143.6</v>
      </c>
      <c r="O20" s="160">
        <v>162.9</v>
      </c>
      <c r="P20" s="24"/>
      <c r="Q20" s="24"/>
      <c r="R20" s="24"/>
      <c r="S20" s="24"/>
      <c r="T20" s="24"/>
      <c r="U20" s="24"/>
      <c r="V20" s="24"/>
      <c r="W20" s="24"/>
      <c r="X20" s="24"/>
      <c r="Y20" s="24"/>
    </row>
    <row r="21" spans="1:25" ht="15.75" customHeight="1" x14ac:dyDescent="0.25">
      <c r="A21" s="5" t="s">
        <v>290</v>
      </c>
      <c r="B21" s="81"/>
      <c r="C21" s="81"/>
      <c r="D21" s="81"/>
      <c r="E21" s="11"/>
      <c r="F21" s="81"/>
      <c r="G21" s="11"/>
      <c r="H21" s="11"/>
      <c r="I21" s="11">
        <v>7.4</v>
      </c>
      <c r="J21" s="11" t="s">
        <v>291</v>
      </c>
      <c r="K21" s="11"/>
      <c r="L21" s="11"/>
      <c r="M21" s="11"/>
      <c r="N21" s="11"/>
      <c r="O21" s="24"/>
      <c r="P21" s="24"/>
      <c r="Q21" s="24"/>
      <c r="R21" s="24"/>
      <c r="S21" s="24"/>
      <c r="T21" s="24"/>
      <c r="U21" s="24"/>
      <c r="V21" s="24"/>
      <c r="W21" s="24"/>
      <c r="X21" s="24"/>
      <c r="Y21" s="24"/>
    </row>
    <row r="22" spans="1:25" ht="15.75" customHeight="1" x14ac:dyDescent="0.25">
      <c r="A22" s="5" t="s">
        <v>293</v>
      </c>
      <c r="B22" s="81"/>
      <c r="C22" s="81"/>
      <c r="D22" s="81"/>
      <c r="E22" s="11"/>
      <c r="F22" s="81">
        <v>27.1</v>
      </c>
      <c r="G22" s="11">
        <v>34.299999999999997</v>
      </c>
      <c r="H22" s="11" t="s">
        <v>294</v>
      </c>
      <c r="I22" s="11"/>
      <c r="J22" s="11"/>
      <c r="K22" s="11"/>
      <c r="L22" s="11"/>
      <c r="M22" s="11"/>
      <c r="N22" s="11"/>
      <c r="O22" s="24"/>
      <c r="P22" s="24"/>
      <c r="Q22" s="24"/>
      <c r="R22" s="24"/>
      <c r="S22" s="24"/>
      <c r="T22" s="24"/>
      <c r="U22" s="24"/>
      <c r="V22" s="24"/>
      <c r="W22" s="24"/>
      <c r="X22" s="24"/>
      <c r="Y22" s="24"/>
    </row>
    <row r="23" spans="1:25" ht="15.75" customHeight="1" x14ac:dyDescent="0.25">
      <c r="A23" s="5" t="s">
        <v>295</v>
      </c>
      <c r="B23" s="81"/>
      <c r="C23" s="81"/>
      <c r="D23" s="81">
        <v>14.4</v>
      </c>
      <c r="E23" s="81">
        <v>17.8</v>
      </c>
      <c r="F23" s="81">
        <v>24.7</v>
      </c>
      <c r="G23" s="81">
        <v>28.4</v>
      </c>
      <c r="H23" s="81">
        <v>32.200000000000003</v>
      </c>
      <c r="I23" s="11">
        <v>39.299999999999997</v>
      </c>
      <c r="J23" s="11">
        <v>49.3</v>
      </c>
      <c r="K23" s="11">
        <v>47</v>
      </c>
      <c r="L23" s="11">
        <v>49.1</v>
      </c>
      <c r="M23" s="11">
        <v>50.4</v>
      </c>
      <c r="N23" s="11">
        <v>50.8</v>
      </c>
      <c r="O23" s="160">
        <v>47.5</v>
      </c>
      <c r="P23" s="24"/>
      <c r="Q23" s="24"/>
      <c r="R23" s="24"/>
      <c r="S23" s="24"/>
      <c r="T23" s="24"/>
      <c r="U23" s="24"/>
      <c r="V23" s="24"/>
      <c r="W23" s="24"/>
      <c r="X23" s="24"/>
      <c r="Y23" s="24"/>
    </row>
    <row r="24" spans="1:25" ht="15.75" customHeight="1" x14ac:dyDescent="0.25">
      <c r="A24" s="5" t="s">
        <v>296</v>
      </c>
      <c r="B24" s="81"/>
      <c r="C24" s="81">
        <v>2.2000000000000002</v>
      </c>
      <c r="D24" s="81">
        <v>3.9</v>
      </c>
      <c r="E24" s="81">
        <v>3.7</v>
      </c>
      <c r="F24" s="81">
        <v>15.1</v>
      </c>
      <c r="G24" s="81">
        <v>19.100000000000001</v>
      </c>
      <c r="H24" s="81">
        <v>22.1</v>
      </c>
      <c r="I24" s="11">
        <v>24.6</v>
      </c>
      <c r="J24" s="11">
        <v>28.8</v>
      </c>
      <c r="K24" s="11">
        <v>35.200000000000003</v>
      </c>
      <c r="L24" s="11">
        <v>35.700000000000003</v>
      </c>
      <c r="M24" s="11">
        <v>36</v>
      </c>
      <c r="N24" s="137">
        <v>32.9</v>
      </c>
      <c r="O24" s="173">
        <v>31.1</v>
      </c>
      <c r="P24" s="24"/>
      <c r="Q24" s="24"/>
      <c r="R24" s="24"/>
      <c r="S24" s="24"/>
      <c r="T24" s="24"/>
      <c r="U24" s="24"/>
      <c r="V24" s="24"/>
      <c r="W24" s="24"/>
      <c r="X24" s="24"/>
      <c r="Y24" s="24"/>
    </row>
    <row r="25" spans="1:25" ht="15.75" customHeight="1" x14ac:dyDescent="0.25">
      <c r="A25" s="5" t="s">
        <v>298</v>
      </c>
      <c r="B25" s="81"/>
      <c r="C25" s="81"/>
      <c r="D25" s="81"/>
      <c r="E25" s="81"/>
      <c r="F25" s="81"/>
      <c r="G25" s="81"/>
      <c r="H25" s="81"/>
      <c r="I25" s="11"/>
      <c r="J25" s="11"/>
      <c r="K25" s="11">
        <v>22.8</v>
      </c>
      <c r="L25" s="11">
        <v>25.9</v>
      </c>
      <c r="M25" s="11">
        <v>28.6</v>
      </c>
      <c r="N25" s="11">
        <v>33.5</v>
      </c>
      <c r="O25" s="160">
        <v>33.78</v>
      </c>
      <c r="P25" s="24"/>
      <c r="Q25" s="24"/>
      <c r="R25" s="24"/>
      <c r="S25" s="24"/>
      <c r="T25" s="24"/>
      <c r="U25" s="24"/>
      <c r="V25" s="24"/>
      <c r="W25" s="24"/>
      <c r="X25" s="24"/>
      <c r="Y25" s="24"/>
    </row>
    <row r="26" spans="1:25" ht="31.5" customHeight="1" x14ac:dyDescent="0.25">
      <c r="A26" s="5" t="s">
        <v>299</v>
      </c>
      <c r="B26" s="81"/>
      <c r="C26" s="81"/>
      <c r="D26" s="81"/>
      <c r="E26" s="81"/>
      <c r="F26" s="81"/>
      <c r="G26" s="11"/>
      <c r="H26" s="11"/>
      <c r="I26" s="11"/>
      <c r="J26" s="11">
        <v>0.1</v>
      </c>
      <c r="K26" s="11" t="s">
        <v>301</v>
      </c>
      <c r="L26" s="11">
        <v>19.3</v>
      </c>
      <c r="M26" s="11">
        <v>21.4</v>
      </c>
      <c r="N26" s="137">
        <v>19.7</v>
      </c>
      <c r="O26" s="160">
        <v>17.600000000000001</v>
      </c>
      <c r="P26" s="24"/>
      <c r="Q26" s="24"/>
      <c r="R26" s="24"/>
      <c r="S26" s="24"/>
      <c r="T26" s="24"/>
      <c r="U26" s="24"/>
      <c r="V26" s="24"/>
      <c r="W26" s="24"/>
      <c r="X26" s="24"/>
      <c r="Y26" s="24"/>
    </row>
    <row r="27" spans="1:25" ht="15.75" customHeight="1" x14ac:dyDescent="0.25">
      <c r="A27" s="118" t="s">
        <v>303</v>
      </c>
      <c r="B27" s="81"/>
      <c r="C27" s="81"/>
      <c r="D27" s="81"/>
      <c r="E27" s="81"/>
      <c r="F27" s="81"/>
      <c r="G27" s="11"/>
      <c r="H27" s="11"/>
      <c r="I27" s="11"/>
      <c r="J27" s="11"/>
      <c r="K27" s="11"/>
      <c r="L27" s="11"/>
      <c r="M27" s="11"/>
      <c r="N27" s="137">
        <v>76.5</v>
      </c>
      <c r="O27" s="160">
        <v>81.2</v>
      </c>
      <c r="P27" s="24"/>
      <c r="Q27" s="24"/>
      <c r="R27" s="179"/>
      <c r="S27" s="179"/>
      <c r="T27" s="24"/>
      <c r="U27" s="24"/>
      <c r="V27" s="24"/>
      <c r="W27" s="24"/>
      <c r="X27" s="24"/>
      <c r="Y27" s="24"/>
    </row>
    <row r="28" spans="1:25" ht="15.75" customHeight="1" x14ac:dyDescent="0.25">
      <c r="A28" s="118" t="s">
        <v>306</v>
      </c>
      <c r="B28" s="81"/>
      <c r="C28" s="81"/>
      <c r="D28" s="81"/>
      <c r="E28" s="81"/>
      <c r="F28" s="81"/>
      <c r="G28" s="11"/>
      <c r="H28" s="11"/>
      <c r="I28" s="181">
        <v>14.2</v>
      </c>
      <c r="J28" s="181">
        <v>17.5</v>
      </c>
      <c r="K28" s="181">
        <v>18.2</v>
      </c>
      <c r="L28" s="181">
        <v>20.3</v>
      </c>
      <c r="M28" s="128" t="s">
        <v>308</v>
      </c>
      <c r="N28" s="183"/>
      <c r="O28" s="184"/>
      <c r="P28" s="24"/>
      <c r="Q28" s="24"/>
      <c r="R28" s="24"/>
      <c r="S28" s="24"/>
      <c r="T28" s="24"/>
      <c r="U28" s="24"/>
      <c r="V28" s="24"/>
      <c r="W28" s="24"/>
      <c r="X28" s="24"/>
      <c r="Y28" s="24"/>
    </row>
    <row r="29" spans="1:25" ht="15.75" customHeight="1" x14ac:dyDescent="0.25">
      <c r="A29" s="5" t="s">
        <v>310</v>
      </c>
      <c r="B29" s="24">
        <f t="shared" ref="B29:O29" si="1">B33-SUM(B3:B28)+SUM(B11:B12)</f>
        <v>93.8</v>
      </c>
      <c r="C29" s="24">
        <f t="shared" si="1"/>
        <v>22</v>
      </c>
      <c r="D29" s="24">
        <f t="shared" si="1"/>
        <v>31.697000000000003</v>
      </c>
      <c r="E29" s="24">
        <f t="shared" si="1"/>
        <v>58.084000000000003</v>
      </c>
      <c r="F29" s="24">
        <f t="shared" si="1"/>
        <v>55.479999999999883</v>
      </c>
      <c r="G29" s="24">
        <f t="shared" si="1"/>
        <v>-84.017999999999887</v>
      </c>
      <c r="H29" s="24">
        <f t="shared" si="1"/>
        <v>337.33100000000036</v>
      </c>
      <c r="I29" s="24">
        <f t="shared" si="1"/>
        <v>258.20099999999968</v>
      </c>
      <c r="J29" s="24">
        <f t="shared" si="1"/>
        <v>214.27255000000019</v>
      </c>
      <c r="K29" s="24">
        <f t="shared" si="1"/>
        <v>438.94705000000113</v>
      </c>
      <c r="L29" s="24">
        <f t="shared" si="1"/>
        <v>326.29692999999997</v>
      </c>
      <c r="M29" s="24">
        <f t="shared" si="1"/>
        <v>415.41404999999941</v>
      </c>
      <c r="N29" s="24">
        <f t="shared" si="1"/>
        <v>666.49279999999999</v>
      </c>
      <c r="O29" s="24">
        <f t="shared" si="1"/>
        <v>299.02000000000021</v>
      </c>
      <c r="P29" s="24"/>
      <c r="Q29" s="24"/>
      <c r="R29" s="24"/>
      <c r="S29" s="24"/>
      <c r="T29" s="24"/>
      <c r="U29" s="24"/>
      <c r="V29" s="24"/>
      <c r="W29" s="24"/>
      <c r="X29" s="24"/>
      <c r="Y29" s="24"/>
    </row>
    <row r="30" spans="1:25" ht="15.75" customHeight="1" x14ac:dyDescent="0.25">
      <c r="A30" s="5"/>
      <c r="P30" s="24"/>
      <c r="Q30" s="24"/>
      <c r="R30" s="24"/>
      <c r="S30" s="24"/>
      <c r="T30" s="24"/>
      <c r="U30" s="24"/>
      <c r="V30" s="24"/>
      <c r="W30" s="24"/>
      <c r="X30" s="24"/>
      <c r="Y30" s="24"/>
    </row>
    <row r="31" spans="1:25" ht="15.75" customHeight="1" x14ac:dyDescent="0.25">
      <c r="A31" s="5"/>
      <c r="B31" s="81"/>
      <c r="C31" s="81"/>
      <c r="D31" s="81"/>
      <c r="E31" s="81"/>
      <c r="F31" s="81"/>
      <c r="G31" s="11"/>
      <c r="H31" s="11"/>
      <c r="I31" s="11"/>
      <c r="J31" s="11"/>
      <c r="K31" s="11"/>
      <c r="L31" s="11"/>
      <c r="M31" s="11"/>
      <c r="N31" s="11"/>
      <c r="O31" s="24"/>
      <c r="P31" s="24"/>
      <c r="Q31" s="24"/>
      <c r="R31" s="24"/>
      <c r="S31" s="24"/>
      <c r="T31" s="24"/>
      <c r="U31" s="24"/>
      <c r="V31" s="24"/>
      <c r="W31" s="24"/>
      <c r="X31" s="24"/>
      <c r="Y31" s="24"/>
    </row>
    <row r="32" spans="1:25" ht="15.75" customHeight="1" x14ac:dyDescent="0.25">
      <c r="A32" s="5"/>
      <c r="B32" s="81"/>
      <c r="C32" s="81"/>
      <c r="D32" s="81"/>
      <c r="E32" s="81"/>
      <c r="F32" s="81"/>
      <c r="G32" s="11"/>
      <c r="H32" s="11"/>
      <c r="I32" s="11"/>
      <c r="J32" s="11"/>
      <c r="K32" s="11"/>
      <c r="L32" s="11"/>
      <c r="M32" s="11"/>
      <c r="N32" s="11"/>
      <c r="O32" s="24"/>
      <c r="P32" s="24"/>
      <c r="Q32" s="24"/>
      <c r="R32" s="24"/>
      <c r="S32" s="24"/>
      <c r="T32" s="24"/>
      <c r="U32" s="24"/>
      <c r="V32" s="24"/>
      <c r="W32" s="24"/>
      <c r="X32" s="24"/>
      <c r="Y32" s="24"/>
    </row>
    <row r="33" spans="1:25" ht="15.75" customHeight="1" x14ac:dyDescent="0.25">
      <c r="A33" s="193" t="s">
        <v>323</v>
      </c>
      <c r="B33" s="178">
        <v>93.8</v>
      </c>
      <c r="C33" s="178">
        <v>142.4</v>
      </c>
      <c r="D33" s="178">
        <v>322.09699999999998</v>
      </c>
      <c r="E33" s="178">
        <v>395.18400000000003</v>
      </c>
      <c r="F33" s="178">
        <v>664.48</v>
      </c>
      <c r="G33" s="42">
        <v>842.08199999999999</v>
      </c>
      <c r="H33" s="42">
        <v>1270.431</v>
      </c>
      <c r="I33" s="42">
        <v>2065.201</v>
      </c>
      <c r="J33" s="42">
        <v>2931.1410000000001</v>
      </c>
      <c r="K33" s="42">
        <v>3474.62</v>
      </c>
      <c r="L33" s="42">
        <v>3748.0920000000001</v>
      </c>
      <c r="M33" s="42">
        <v>3967.587</v>
      </c>
      <c r="N33" s="42">
        <v>4090.9940000000001</v>
      </c>
      <c r="O33" s="196">
        <v>4216.3999999999996</v>
      </c>
      <c r="P33" s="197"/>
      <c r="Q33" s="44"/>
      <c r="R33" s="44"/>
      <c r="S33" s="44"/>
      <c r="T33" s="44"/>
      <c r="U33" s="44"/>
      <c r="V33" s="44"/>
      <c r="W33" s="44"/>
      <c r="X33" s="44"/>
      <c r="Y33" s="44"/>
    </row>
    <row r="34" spans="1:25" ht="15.75" customHeight="1" x14ac:dyDescent="0.25">
      <c r="A34" s="41" t="s">
        <v>341</v>
      </c>
      <c r="B34" s="11">
        <v>1710.5229999999999</v>
      </c>
      <c r="C34" s="11">
        <v>2170.3870000000002</v>
      </c>
      <c r="D34" s="11">
        <v>2403.2980000000002</v>
      </c>
      <c r="E34" s="11">
        <v>2489.116</v>
      </c>
      <c r="F34" s="11">
        <v>2663.692</v>
      </c>
      <c r="G34" s="11">
        <v>2931.2179999999998</v>
      </c>
      <c r="H34" s="11">
        <v>3046.1109999999999</v>
      </c>
      <c r="I34" s="11">
        <v>3190.152</v>
      </c>
      <c r="J34" s="11">
        <v>3390.7169999999996</v>
      </c>
      <c r="K34" s="11">
        <v>3415.364</v>
      </c>
      <c r="L34" s="11">
        <v>3501.7339999999999</v>
      </c>
      <c r="M34" s="11">
        <v>3419.8710000000001</v>
      </c>
      <c r="N34" s="11">
        <v>3204.9059999999999</v>
      </c>
      <c r="O34" s="160">
        <v>3059.2</v>
      </c>
      <c r="P34" s="24"/>
      <c r="Q34" s="24"/>
      <c r="R34" s="24"/>
      <c r="S34" s="24"/>
      <c r="T34" s="24"/>
      <c r="U34" s="24"/>
      <c r="V34" s="24"/>
      <c r="W34" s="24"/>
      <c r="X34" s="24"/>
      <c r="Y34" s="24"/>
    </row>
    <row r="35" spans="1:25" ht="15.75" customHeight="1" x14ac:dyDescent="0.25">
      <c r="A35" s="41" t="s">
        <v>42</v>
      </c>
      <c r="B35" s="11" t="s">
        <v>346</v>
      </c>
      <c r="C35" s="47">
        <f>'Pay &amp; Specialty (MS)'!C35</f>
        <v>79.49438202247191</v>
      </c>
      <c r="D35" s="47">
        <f>'Pay &amp; Specialty (MS)'!D35</f>
        <v>70.351477970921806</v>
      </c>
      <c r="E35" s="47">
        <f>'Pay &amp; Specialty (MS)'!E35</f>
        <v>66.171707356573137</v>
      </c>
      <c r="F35" s="47">
        <f>'Pay &amp; Specialty (MS)'!F35</f>
        <v>62.183963399951843</v>
      </c>
      <c r="G35" s="47">
        <f>'Pay &amp; Specialty (MS)'!G35</f>
        <v>63.628007723713381</v>
      </c>
      <c r="H35" s="47">
        <f>'Pay &amp; Specialty (MS)'!H35</f>
        <v>44.866663360701992</v>
      </c>
      <c r="I35" s="47">
        <f>'Pay &amp; Specialty (MS)'!I35</f>
        <v>59.868264638647766</v>
      </c>
      <c r="J35" s="47">
        <f>'Pay &amp; Specialty (MS)'!J35</f>
        <v>71.34315442348219</v>
      </c>
      <c r="K35" s="47">
        <f>'Pay &amp; Specialty (MS)'!K35</f>
        <v>74.651989282281221</v>
      </c>
      <c r="L35" s="47">
        <f>'Pay &amp; Specialty (MS)'!L35</f>
        <v>80.013912945573367</v>
      </c>
      <c r="M35" s="47">
        <f>'Pay &amp; Specialty (MS)'!M35</f>
        <v>78.419778822745414</v>
      </c>
      <c r="N35" s="47">
        <f>'Pay &amp; Specialty (MS)'!N35</f>
        <v>74.981806377618739</v>
      </c>
      <c r="O35" s="47">
        <f>'Pay &amp; Specialty (MS)'!O35</f>
        <v>84.036144578313269</v>
      </c>
      <c r="P35" s="42"/>
      <c r="Q35" s="42"/>
      <c r="R35" s="42"/>
      <c r="S35" s="42"/>
      <c r="T35" s="42"/>
      <c r="U35" s="42"/>
      <c r="V35" s="42"/>
      <c r="W35" s="42"/>
      <c r="X35" s="42"/>
      <c r="Y35" s="42"/>
    </row>
    <row r="36" spans="1:25" ht="15.75" customHeight="1" x14ac:dyDescent="0.25">
      <c r="A36" s="41" t="s">
        <v>43</v>
      </c>
      <c r="B36" s="11" t="s">
        <v>346</v>
      </c>
      <c r="C36" s="47">
        <f>'Pay &amp; Specialty (MS)'!C36</f>
        <v>1787.9884168665571</v>
      </c>
      <c r="D36" s="47">
        <f>'Pay &amp; Specialty (MS)'!D36</f>
        <v>1518.1643168381593</v>
      </c>
      <c r="E36" s="47">
        <f>'Pay &amp; Specialty (MS)'!E36</f>
        <v>1385.5910499881627</v>
      </c>
      <c r="F36" s="47">
        <f>'Pay &amp; Specialty (MS)'!F36</f>
        <v>1443.3322818227364</v>
      </c>
      <c r="G36" s="47">
        <f>'Pay &amp; Specialty (MS)'!G36</f>
        <v>1545.0899216796772</v>
      </c>
      <c r="H36" s="47">
        <f>'Pay &amp; Specialty (MS)'!H36</f>
        <v>709.60935608889054</v>
      </c>
      <c r="I36" s="47">
        <f>'Pay &amp; Specialty (MS)'!I36</f>
        <v>1072.312740932259</v>
      </c>
      <c r="J36" s="47">
        <f>'Pay &amp; Specialty (MS)'!J36</f>
        <v>1434.5500172445002</v>
      </c>
      <c r="K36" s="47">
        <f>'Pay &amp; Specialty (MS)'!K36</f>
        <v>1598.432120153843</v>
      </c>
      <c r="L36" s="47">
        <f>'Pay &amp; Specialty (MS)'!L36</f>
        <v>1834.5788800923594</v>
      </c>
      <c r="M36" s="47">
        <f>'Pay &amp; Specialty (MS)'!M36</f>
        <v>1760.4045568866256</v>
      </c>
      <c r="N36" s="47">
        <f>'Pay &amp; Specialty (MS)'!N36</f>
        <v>1964.3529347265353</v>
      </c>
      <c r="O36" s="47">
        <f>'Pay &amp; Specialty (MS)'!O36</f>
        <v>2582.6853455637533</v>
      </c>
      <c r="P36" s="24"/>
      <c r="Q36" s="24"/>
      <c r="R36" s="24"/>
      <c r="S36" s="24"/>
      <c r="T36" s="24"/>
      <c r="U36" s="24"/>
      <c r="V36" s="24"/>
      <c r="W36" s="24"/>
      <c r="X36" s="24"/>
      <c r="Y36" s="24"/>
    </row>
    <row r="37" spans="1:25" ht="15.75" customHeight="1" x14ac:dyDescent="0.25">
      <c r="A37" s="211" t="s">
        <v>368</v>
      </c>
      <c r="B37" s="154"/>
      <c r="C37" s="154"/>
      <c r="D37" s="154"/>
      <c r="E37" s="154"/>
      <c r="F37" s="213">
        <f>'Pay &amp; Specialty (MS)'!F37</f>
        <v>62.183963399951843</v>
      </c>
      <c r="G37" s="213">
        <f>'Pay &amp; Specialty (MS)'!G37</f>
        <v>63.628007723713381</v>
      </c>
      <c r="H37" s="213">
        <f>'Pay &amp; Specialty (MS)'!H37</f>
        <v>44.866663360701999</v>
      </c>
      <c r="I37" s="213">
        <f>'Pay &amp; Specialty (MS)'!I37</f>
        <v>59.059626641668288</v>
      </c>
      <c r="J37" s="213">
        <f>'Pay &amp; Specialty (MS)'!J37</f>
        <v>69.227937175318417</v>
      </c>
      <c r="K37" s="213">
        <f>'Pay &amp; Specialty (MS)'!K37</f>
        <v>64.314168168029894</v>
      </c>
      <c r="L37" s="213">
        <f>'Pay &amp; Specialty (MS)'!L37</f>
        <v>68.786867291411198</v>
      </c>
      <c r="M37" s="213">
        <f>'Pay &amp; Specialty (MS)'!M37</f>
        <v>67.009821082688291</v>
      </c>
      <c r="N37" s="213">
        <f>'Pay &amp; Specialty (MS)'!N37</f>
        <v>71.048776898719467</v>
      </c>
      <c r="O37" s="213">
        <f>'Pay &amp; Specialty (MS)'!O37</f>
        <v>78.797078076083864</v>
      </c>
      <c r="P37" s="161"/>
      <c r="Q37" s="161"/>
      <c r="R37" s="161"/>
      <c r="S37" s="161"/>
      <c r="T37" s="161"/>
      <c r="U37" s="161"/>
      <c r="V37" s="161"/>
      <c r="W37" s="161"/>
      <c r="X37" s="161"/>
      <c r="Y37" s="161"/>
    </row>
    <row r="38" spans="1:25" ht="15.75" customHeight="1" x14ac:dyDescent="0.25">
      <c r="A38" s="211" t="s">
        <v>377</v>
      </c>
      <c r="B38" s="154"/>
      <c r="C38" s="154"/>
      <c r="D38" s="154"/>
      <c r="E38" s="154"/>
      <c r="F38" s="213">
        <f>'Pay &amp; Specialty (MS)'!F38</f>
        <v>1443.3322818227364</v>
      </c>
      <c r="G38" s="213">
        <f>'Pay &amp; Specialty (MS)'!G38</f>
        <v>1545.0899216796772</v>
      </c>
      <c r="H38" s="213">
        <f>'Pay &amp; Specialty (MS)'!H38</f>
        <v>709.60935608889054</v>
      </c>
      <c r="I38" s="213">
        <f>'Pay &amp; Specialty (MS)'!I38</f>
        <v>1047.8875938150634</v>
      </c>
      <c r="J38" s="213">
        <f>'Pay &amp; Specialty (MS)'!J38</f>
        <v>1378.8586942435106</v>
      </c>
      <c r="K38" s="213">
        <f>'Pay &amp; Specialty (MS)'!K38</f>
        <v>1222.5445843945115</v>
      </c>
      <c r="L38" s="213">
        <f>'Pay &amp; Specialty (MS)'!L38</f>
        <v>1450.1916133589234</v>
      </c>
      <c r="M38" s="213">
        <f>'Pay &amp; Specialty (MS)'!M38</f>
        <v>1415.8847781401598</v>
      </c>
      <c r="N38" s="213">
        <f>'Pay &amp; Specialty (MS)'!N38</f>
        <v>1625.5270217516322</v>
      </c>
      <c r="O38" s="213">
        <f>'Pay &amp; Specialty (MS)'!O38</f>
        <v>2201.7427666514504</v>
      </c>
      <c r="P38" s="161"/>
      <c r="Q38" s="161"/>
      <c r="R38" s="161"/>
      <c r="S38" s="161"/>
      <c r="T38" s="161"/>
      <c r="U38" s="161"/>
      <c r="V38" s="161"/>
      <c r="W38" s="161"/>
      <c r="X38" s="161"/>
      <c r="Y38" s="161"/>
    </row>
    <row r="39" spans="1:25" ht="6.75" customHeight="1" x14ac:dyDescent="0.25">
      <c r="A39" s="41"/>
      <c r="B39" s="11"/>
      <c r="C39" s="11"/>
      <c r="D39" s="11"/>
      <c r="E39" s="11"/>
      <c r="F39" s="11"/>
      <c r="G39" s="11"/>
      <c r="H39" s="11"/>
      <c r="I39" s="11"/>
      <c r="J39" s="11"/>
      <c r="K39" s="11"/>
      <c r="L39" s="11"/>
      <c r="M39" s="11"/>
      <c r="N39" s="11"/>
      <c r="O39" s="24"/>
      <c r="P39" s="24"/>
      <c r="Q39" s="24"/>
      <c r="R39" s="24"/>
      <c r="S39" s="24"/>
      <c r="T39" s="24"/>
      <c r="U39" s="24"/>
      <c r="V39" s="24"/>
      <c r="W39" s="24"/>
      <c r="X39" s="24"/>
      <c r="Y39" s="24"/>
    </row>
    <row r="40" spans="1:25" ht="15.75" customHeight="1" x14ac:dyDescent="0.25">
      <c r="A40" s="25"/>
      <c r="B40" s="641" t="s">
        <v>46</v>
      </c>
      <c r="C40" s="623"/>
      <c r="D40" s="623"/>
      <c r="E40" s="623"/>
      <c r="F40" s="11"/>
      <c r="G40" s="11"/>
      <c r="H40" s="11"/>
      <c r="I40" s="11"/>
      <c r="J40" s="11"/>
      <c r="K40" s="11"/>
      <c r="L40" s="11"/>
      <c r="M40" s="11"/>
      <c r="N40" s="11"/>
      <c r="O40" s="24"/>
      <c r="P40" s="24"/>
      <c r="Q40" s="24"/>
      <c r="R40" s="24"/>
      <c r="S40" s="24"/>
      <c r="T40" s="24"/>
      <c r="U40" s="24"/>
      <c r="V40" s="24"/>
      <c r="W40" s="24"/>
      <c r="X40" s="24"/>
      <c r="Y40" s="24"/>
    </row>
    <row r="41" spans="1:25" ht="15.75" customHeight="1" x14ac:dyDescent="0.25">
      <c r="A41" s="25"/>
      <c r="B41" s="624" t="s">
        <v>421</v>
      </c>
      <c r="C41" s="623"/>
      <c r="D41" s="623"/>
      <c r="E41" s="623"/>
      <c r="F41" s="623"/>
      <c r="G41" s="623"/>
      <c r="H41" s="623"/>
      <c r="I41" s="623"/>
      <c r="J41" s="623"/>
      <c r="K41" s="623"/>
      <c r="L41" s="623"/>
      <c r="M41" s="623"/>
      <c r="N41" s="623"/>
      <c r="O41" s="623"/>
      <c r="P41" s="24"/>
      <c r="Q41" s="24"/>
      <c r="R41" s="24"/>
      <c r="S41" s="24"/>
      <c r="T41" s="24"/>
      <c r="U41" s="24"/>
      <c r="V41" s="24"/>
      <c r="W41" s="24"/>
      <c r="X41" s="24"/>
      <c r="Y41" s="24"/>
    </row>
    <row r="42" spans="1:25" ht="15.75" customHeight="1" x14ac:dyDescent="0.25">
      <c r="A42" s="25"/>
      <c r="B42" s="623"/>
      <c r="C42" s="623"/>
      <c r="D42" s="623"/>
      <c r="E42" s="623"/>
      <c r="F42" s="623"/>
      <c r="G42" s="623"/>
      <c r="H42" s="623"/>
      <c r="I42" s="623"/>
      <c r="J42" s="623"/>
      <c r="K42" s="623"/>
      <c r="L42" s="623"/>
      <c r="M42" s="623"/>
      <c r="N42" s="623"/>
      <c r="O42" s="623"/>
      <c r="P42" s="24"/>
      <c r="Q42" s="24"/>
      <c r="R42" s="24"/>
      <c r="S42" s="24"/>
      <c r="T42" s="24"/>
      <c r="U42" s="24"/>
      <c r="V42" s="24"/>
      <c r="W42" s="24"/>
      <c r="X42" s="24"/>
      <c r="Y42" s="24"/>
    </row>
    <row r="43" spans="1:25" ht="15.75" customHeight="1" x14ac:dyDescent="0.25">
      <c r="A43" s="25"/>
      <c r="B43" s="623"/>
      <c r="C43" s="623"/>
      <c r="D43" s="623"/>
      <c r="E43" s="623"/>
      <c r="F43" s="623"/>
      <c r="G43" s="623"/>
      <c r="H43" s="623"/>
      <c r="I43" s="623"/>
      <c r="J43" s="623"/>
      <c r="K43" s="623"/>
      <c r="L43" s="623"/>
      <c r="M43" s="623"/>
      <c r="N43" s="623"/>
      <c r="O43" s="623"/>
      <c r="P43" s="24"/>
      <c r="Q43" s="24"/>
      <c r="R43" s="24"/>
      <c r="S43" s="24"/>
      <c r="T43" s="24"/>
      <c r="U43" s="24"/>
      <c r="V43" s="24"/>
      <c r="W43" s="24"/>
      <c r="X43" s="24"/>
      <c r="Y43" s="24"/>
    </row>
    <row r="44" spans="1:25" ht="15.75" customHeight="1" x14ac:dyDescent="0.25">
      <c r="A44" s="25"/>
      <c r="B44" s="623"/>
      <c r="C44" s="623"/>
      <c r="D44" s="623"/>
      <c r="E44" s="623"/>
      <c r="F44" s="623"/>
      <c r="G44" s="623"/>
      <c r="H44" s="623"/>
      <c r="I44" s="623"/>
      <c r="J44" s="623"/>
      <c r="K44" s="623"/>
      <c r="L44" s="623"/>
      <c r="M44" s="623"/>
      <c r="N44" s="623"/>
      <c r="O44" s="623"/>
      <c r="P44" s="24"/>
      <c r="Q44" s="24"/>
      <c r="R44" s="24"/>
      <c r="S44" s="24"/>
      <c r="T44" s="24"/>
      <c r="U44" s="24"/>
      <c r="V44" s="24"/>
      <c r="W44" s="24"/>
      <c r="X44" s="24"/>
      <c r="Y44" s="24"/>
    </row>
    <row r="45" spans="1:25" ht="15.75" customHeight="1" x14ac:dyDescent="0.25">
      <c r="A45" s="25"/>
      <c r="B45" s="623"/>
      <c r="C45" s="623"/>
      <c r="D45" s="623"/>
      <c r="E45" s="623"/>
      <c r="F45" s="623"/>
      <c r="G45" s="623"/>
      <c r="H45" s="623"/>
      <c r="I45" s="623"/>
      <c r="J45" s="623"/>
      <c r="K45" s="623"/>
      <c r="L45" s="623"/>
      <c r="M45" s="623"/>
      <c r="N45" s="623"/>
      <c r="O45" s="623"/>
      <c r="P45" s="24"/>
      <c r="Q45" s="24"/>
      <c r="R45" s="24"/>
      <c r="S45" s="24"/>
      <c r="T45" s="24"/>
      <c r="U45" s="24"/>
      <c r="V45" s="24"/>
      <c r="W45" s="24"/>
      <c r="X45" s="24"/>
      <c r="Y45" s="24"/>
    </row>
    <row r="46" spans="1:25" ht="15.75" customHeight="1" x14ac:dyDescent="0.25">
      <c r="A46" s="25"/>
      <c r="B46" s="623"/>
      <c r="C46" s="623"/>
      <c r="D46" s="623"/>
      <c r="E46" s="623"/>
      <c r="F46" s="623"/>
      <c r="G46" s="623"/>
      <c r="H46" s="623"/>
      <c r="I46" s="623"/>
      <c r="J46" s="623"/>
      <c r="K46" s="623"/>
      <c r="L46" s="623"/>
      <c r="M46" s="623"/>
      <c r="N46" s="623"/>
      <c r="O46" s="623"/>
      <c r="P46" s="24"/>
      <c r="Q46" s="24"/>
      <c r="R46" s="24"/>
      <c r="S46" s="24"/>
      <c r="T46" s="24"/>
      <c r="U46" s="24"/>
      <c r="V46" s="24"/>
      <c r="W46" s="24"/>
      <c r="X46" s="24"/>
      <c r="Y46" s="24"/>
    </row>
    <row r="47" spans="1:25" ht="15.75" customHeight="1" x14ac:dyDescent="0.25">
      <c r="A47" s="25"/>
      <c r="B47" s="623"/>
      <c r="C47" s="623"/>
      <c r="D47" s="623"/>
      <c r="E47" s="623"/>
      <c r="F47" s="623"/>
      <c r="G47" s="623"/>
      <c r="H47" s="623"/>
      <c r="I47" s="623"/>
      <c r="J47" s="623"/>
      <c r="K47" s="623"/>
      <c r="L47" s="623"/>
      <c r="M47" s="623"/>
      <c r="N47" s="623"/>
      <c r="O47" s="623"/>
      <c r="P47" s="24"/>
      <c r="Q47" s="24"/>
      <c r="R47" s="24"/>
      <c r="S47" s="24"/>
      <c r="T47" s="24"/>
      <c r="U47" s="24"/>
      <c r="V47" s="24"/>
      <c r="W47" s="24"/>
      <c r="X47" s="24"/>
      <c r="Y47" s="24"/>
    </row>
    <row r="48" spans="1:25" ht="15.75" customHeight="1" x14ac:dyDescent="0.25">
      <c r="A48" s="25"/>
      <c r="B48" s="623"/>
      <c r="C48" s="623"/>
      <c r="D48" s="623"/>
      <c r="E48" s="623"/>
      <c r="F48" s="623"/>
      <c r="G48" s="623"/>
      <c r="H48" s="623"/>
      <c r="I48" s="623"/>
      <c r="J48" s="623"/>
      <c r="K48" s="623"/>
      <c r="L48" s="623"/>
      <c r="M48" s="623"/>
      <c r="N48" s="623"/>
      <c r="O48" s="623"/>
      <c r="P48" s="24"/>
      <c r="Q48" s="24"/>
      <c r="R48" s="24"/>
      <c r="S48" s="24"/>
      <c r="T48" s="24"/>
      <c r="U48" s="24"/>
      <c r="V48" s="24"/>
      <c r="W48" s="24"/>
      <c r="X48" s="24"/>
      <c r="Y48" s="24"/>
    </row>
    <row r="49" spans="1:25" ht="15.75" customHeight="1" x14ac:dyDescent="0.25">
      <c r="A49" s="25"/>
      <c r="B49" s="623"/>
      <c r="C49" s="623"/>
      <c r="D49" s="623"/>
      <c r="E49" s="623"/>
      <c r="F49" s="623"/>
      <c r="G49" s="623"/>
      <c r="H49" s="623"/>
      <c r="I49" s="623"/>
      <c r="J49" s="623"/>
      <c r="K49" s="623"/>
      <c r="L49" s="623"/>
      <c r="M49" s="623"/>
      <c r="N49" s="623"/>
      <c r="O49" s="623"/>
      <c r="P49" s="24"/>
      <c r="Q49" s="24"/>
      <c r="R49" s="24"/>
      <c r="S49" s="24"/>
      <c r="T49" s="24"/>
      <c r="U49" s="24"/>
      <c r="V49" s="24"/>
      <c r="W49" s="24"/>
      <c r="X49" s="24"/>
      <c r="Y49" s="24"/>
    </row>
    <row r="50" spans="1:25" ht="15.75" customHeight="1" x14ac:dyDescent="0.25">
      <c r="A50" s="25"/>
      <c r="B50" s="623"/>
      <c r="C50" s="623"/>
      <c r="D50" s="623"/>
      <c r="E50" s="623"/>
      <c r="F50" s="623"/>
      <c r="G50" s="623"/>
      <c r="H50" s="623"/>
      <c r="I50" s="623"/>
      <c r="J50" s="623"/>
      <c r="K50" s="623"/>
      <c r="L50" s="623"/>
      <c r="M50" s="623"/>
      <c r="N50" s="623"/>
      <c r="O50" s="623"/>
      <c r="P50" s="24"/>
      <c r="Q50" s="24"/>
      <c r="R50" s="24"/>
      <c r="S50" s="24"/>
      <c r="T50" s="24"/>
      <c r="U50" s="24"/>
      <c r="V50" s="24"/>
      <c r="W50" s="24"/>
      <c r="X50" s="24"/>
      <c r="Y50" s="24"/>
    </row>
    <row r="51" spans="1:25" ht="15.75" customHeight="1" x14ac:dyDescent="0.25">
      <c r="A51" s="25"/>
      <c r="B51" s="623"/>
      <c r="C51" s="623"/>
      <c r="D51" s="623"/>
      <c r="E51" s="623"/>
      <c r="F51" s="623"/>
      <c r="G51" s="623"/>
      <c r="H51" s="623"/>
      <c r="I51" s="623"/>
      <c r="J51" s="623"/>
      <c r="K51" s="623"/>
      <c r="L51" s="623"/>
      <c r="M51" s="623"/>
      <c r="N51" s="623"/>
      <c r="O51" s="623"/>
      <c r="P51" s="24"/>
      <c r="Q51" s="24"/>
      <c r="R51" s="24"/>
      <c r="S51" s="24"/>
      <c r="T51" s="24"/>
      <c r="U51" s="24"/>
      <c r="V51" s="24"/>
      <c r="W51" s="24"/>
      <c r="X51" s="24"/>
      <c r="Y51" s="24"/>
    </row>
    <row r="52" spans="1:25" ht="15.75" customHeight="1" x14ac:dyDescent="0.25">
      <c r="A52" s="25"/>
      <c r="B52" s="623"/>
      <c r="C52" s="623"/>
      <c r="D52" s="623"/>
      <c r="E52" s="623"/>
      <c r="F52" s="623"/>
      <c r="G52" s="623"/>
      <c r="H52" s="623"/>
      <c r="I52" s="623"/>
      <c r="J52" s="623"/>
      <c r="K52" s="623"/>
      <c r="L52" s="623"/>
      <c r="M52" s="623"/>
      <c r="N52" s="623"/>
      <c r="O52" s="623"/>
      <c r="P52" s="24"/>
      <c r="Q52" s="24"/>
      <c r="R52" s="24"/>
      <c r="S52" s="24"/>
      <c r="T52" s="24"/>
      <c r="U52" s="24"/>
      <c r="V52" s="24"/>
      <c r="W52" s="24"/>
      <c r="X52" s="24"/>
      <c r="Y52" s="24"/>
    </row>
    <row r="53" spans="1:25" ht="15.75" customHeight="1" x14ac:dyDescent="0.25">
      <c r="A53" s="25"/>
      <c r="B53" s="623"/>
      <c r="C53" s="623"/>
      <c r="D53" s="623"/>
      <c r="E53" s="623"/>
      <c r="F53" s="623"/>
      <c r="G53" s="623"/>
      <c r="H53" s="623"/>
      <c r="I53" s="623"/>
      <c r="J53" s="623"/>
      <c r="K53" s="623"/>
      <c r="L53" s="623"/>
      <c r="M53" s="623"/>
      <c r="N53" s="623"/>
      <c r="O53" s="623"/>
      <c r="P53" s="24"/>
      <c r="Q53" s="24"/>
      <c r="R53" s="24"/>
      <c r="S53" s="24"/>
      <c r="T53" s="24"/>
      <c r="U53" s="24"/>
      <c r="V53" s="24"/>
      <c r="W53" s="24"/>
      <c r="X53" s="24"/>
      <c r="Y53" s="24"/>
    </row>
    <row r="54" spans="1:25" ht="15.75" customHeight="1" x14ac:dyDescent="0.25">
      <c r="A54" s="25"/>
      <c r="B54" s="623"/>
      <c r="C54" s="623"/>
      <c r="D54" s="623"/>
      <c r="E54" s="623"/>
      <c r="F54" s="623"/>
      <c r="G54" s="623"/>
      <c r="H54" s="623"/>
      <c r="I54" s="623"/>
      <c r="J54" s="623"/>
      <c r="K54" s="623"/>
      <c r="L54" s="623"/>
      <c r="M54" s="623"/>
      <c r="N54" s="623"/>
      <c r="O54" s="623"/>
      <c r="P54" s="24"/>
      <c r="Q54" s="24"/>
      <c r="R54" s="24"/>
      <c r="S54" s="24"/>
      <c r="T54" s="24"/>
      <c r="U54" s="24"/>
      <c r="V54" s="24"/>
      <c r="W54" s="24"/>
      <c r="X54" s="24"/>
      <c r="Y54" s="24"/>
    </row>
    <row r="55" spans="1:25" ht="15.75" customHeight="1" x14ac:dyDescent="0.25">
      <c r="A55" s="25"/>
      <c r="B55" s="623"/>
      <c r="C55" s="623"/>
      <c r="D55" s="623"/>
      <c r="E55" s="623"/>
      <c r="F55" s="623"/>
      <c r="G55" s="623"/>
      <c r="H55" s="623"/>
      <c r="I55" s="623"/>
      <c r="J55" s="623"/>
      <c r="K55" s="623"/>
      <c r="L55" s="623"/>
      <c r="M55" s="623"/>
      <c r="N55" s="623"/>
      <c r="O55" s="623"/>
      <c r="P55" s="24"/>
      <c r="Q55" s="24"/>
      <c r="R55" s="24"/>
      <c r="S55" s="24"/>
      <c r="T55" s="24"/>
      <c r="U55" s="24"/>
      <c r="V55" s="24"/>
      <c r="W55" s="24"/>
      <c r="X55" s="24"/>
      <c r="Y55" s="24"/>
    </row>
    <row r="56" spans="1:25" ht="15.75" customHeight="1" x14ac:dyDescent="0.25">
      <c r="A56" s="25"/>
      <c r="B56" s="623"/>
      <c r="C56" s="623"/>
      <c r="D56" s="623"/>
      <c r="E56" s="623"/>
      <c r="F56" s="623"/>
      <c r="G56" s="623"/>
      <c r="H56" s="623"/>
      <c r="I56" s="623"/>
      <c r="J56" s="623"/>
      <c r="K56" s="623"/>
      <c r="L56" s="623"/>
      <c r="M56" s="623"/>
      <c r="N56" s="623"/>
      <c r="O56" s="623"/>
      <c r="P56" s="24"/>
      <c r="Q56" s="24"/>
      <c r="R56" s="24"/>
      <c r="S56" s="24"/>
      <c r="T56" s="24"/>
      <c r="U56" s="24"/>
      <c r="V56" s="24"/>
      <c r="W56" s="24"/>
      <c r="X56" s="24"/>
      <c r="Y56" s="24"/>
    </row>
    <row r="57" spans="1:25" ht="15.75" customHeight="1" x14ac:dyDescent="0.25">
      <c r="A57" s="25"/>
      <c r="B57" s="623"/>
      <c r="C57" s="623"/>
      <c r="D57" s="623"/>
      <c r="E57" s="623"/>
      <c r="F57" s="623"/>
      <c r="G57" s="623"/>
      <c r="H57" s="623"/>
      <c r="I57" s="623"/>
      <c r="J57" s="623"/>
      <c r="K57" s="623"/>
      <c r="L57" s="623"/>
      <c r="M57" s="623"/>
      <c r="N57" s="623"/>
      <c r="O57" s="623"/>
      <c r="P57" s="24"/>
      <c r="Q57" s="24"/>
      <c r="R57" s="24"/>
      <c r="S57" s="24"/>
      <c r="T57" s="24"/>
      <c r="U57" s="24"/>
      <c r="V57" s="24"/>
      <c r="W57" s="24"/>
      <c r="X57" s="24"/>
      <c r="Y57" s="24"/>
    </row>
    <row r="58" spans="1:25" ht="15.75" customHeight="1" x14ac:dyDescent="0.25">
      <c r="A58" s="25"/>
      <c r="B58" s="623"/>
      <c r="C58" s="623"/>
      <c r="D58" s="623"/>
      <c r="E58" s="623"/>
      <c r="F58" s="623"/>
      <c r="G58" s="623"/>
      <c r="H58" s="623"/>
      <c r="I58" s="623"/>
      <c r="J58" s="623"/>
      <c r="K58" s="623"/>
      <c r="L58" s="623"/>
      <c r="M58" s="623"/>
      <c r="N58" s="623"/>
      <c r="O58" s="623"/>
      <c r="P58" s="24"/>
      <c r="Q58" s="24"/>
      <c r="R58" s="24"/>
      <c r="S58" s="24"/>
      <c r="T58" s="24"/>
      <c r="U58" s="24"/>
      <c r="V58" s="24"/>
      <c r="W58" s="24"/>
      <c r="X58" s="24"/>
      <c r="Y58" s="24"/>
    </row>
    <row r="59" spans="1:25" ht="15.75" customHeight="1" x14ac:dyDescent="0.25">
      <c r="A59" s="25"/>
      <c r="B59" s="623"/>
      <c r="C59" s="623"/>
      <c r="D59" s="623"/>
      <c r="E59" s="623"/>
      <c r="F59" s="623"/>
      <c r="G59" s="623"/>
      <c r="H59" s="623"/>
      <c r="I59" s="623"/>
      <c r="J59" s="623"/>
      <c r="K59" s="623"/>
      <c r="L59" s="623"/>
      <c r="M59" s="623"/>
      <c r="N59" s="623"/>
      <c r="O59" s="623"/>
      <c r="P59" s="24"/>
      <c r="Q59" s="24"/>
      <c r="R59" s="24"/>
      <c r="S59" s="24"/>
      <c r="T59" s="24"/>
      <c r="U59" s="24"/>
      <c r="V59" s="24"/>
      <c r="W59" s="24"/>
      <c r="X59" s="24"/>
      <c r="Y59" s="24"/>
    </row>
    <row r="60" spans="1:25" ht="15.75" customHeight="1" x14ac:dyDescent="0.25">
      <c r="A60" s="25"/>
      <c r="B60" s="623"/>
      <c r="C60" s="623"/>
      <c r="D60" s="623"/>
      <c r="E60" s="623"/>
      <c r="F60" s="623"/>
      <c r="G60" s="623"/>
      <c r="H60" s="623"/>
      <c r="I60" s="623"/>
      <c r="J60" s="623"/>
      <c r="K60" s="623"/>
      <c r="L60" s="623"/>
      <c r="M60" s="623"/>
      <c r="N60" s="623"/>
      <c r="O60" s="623"/>
      <c r="P60" s="24"/>
      <c r="Q60" s="24"/>
      <c r="R60" s="24"/>
      <c r="S60" s="24"/>
      <c r="T60" s="24"/>
      <c r="U60" s="24"/>
      <c r="V60" s="24"/>
      <c r="W60" s="24"/>
      <c r="X60" s="24"/>
      <c r="Y60" s="24"/>
    </row>
    <row r="61" spans="1:25" ht="15.75" customHeight="1" x14ac:dyDescent="0.25">
      <c r="A61" s="25"/>
      <c r="B61" s="623"/>
      <c r="C61" s="623"/>
      <c r="D61" s="623"/>
      <c r="E61" s="623"/>
      <c r="F61" s="623"/>
      <c r="G61" s="623"/>
      <c r="H61" s="623"/>
      <c r="I61" s="623"/>
      <c r="J61" s="623"/>
      <c r="K61" s="623"/>
      <c r="L61" s="623"/>
      <c r="M61" s="623"/>
      <c r="N61" s="623"/>
      <c r="O61" s="623"/>
      <c r="P61" s="24"/>
      <c r="Q61" s="24"/>
      <c r="R61" s="24"/>
      <c r="S61" s="24"/>
      <c r="T61" s="24"/>
      <c r="U61" s="24"/>
      <c r="V61" s="24"/>
      <c r="W61" s="24"/>
      <c r="X61" s="24"/>
      <c r="Y61" s="24"/>
    </row>
    <row r="62" spans="1:25" ht="15.75" customHeight="1" x14ac:dyDescent="0.25">
      <c r="A62" s="25"/>
      <c r="B62" s="623"/>
      <c r="C62" s="623"/>
      <c r="D62" s="623"/>
      <c r="E62" s="623"/>
      <c r="F62" s="623"/>
      <c r="G62" s="623"/>
      <c r="H62" s="623"/>
      <c r="I62" s="623"/>
      <c r="J62" s="623"/>
      <c r="K62" s="623"/>
      <c r="L62" s="623"/>
      <c r="M62" s="623"/>
      <c r="N62" s="623"/>
      <c r="O62" s="623"/>
      <c r="P62" s="24"/>
      <c r="Q62" s="24"/>
      <c r="R62" s="24"/>
      <c r="S62" s="24"/>
      <c r="T62" s="24"/>
      <c r="U62" s="24"/>
      <c r="V62" s="24"/>
      <c r="W62" s="24"/>
      <c r="X62" s="24"/>
      <c r="Y62" s="24"/>
    </row>
    <row r="63" spans="1:25" ht="15.75" customHeight="1" x14ac:dyDescent="0.25">
      <c r="A63" s="25"/>
      <c r="B63" s="623"/>
      <c r="C63" s="623"/>
      <c r="D63" s="623"/>
      <c r="E63" s="623"/>
      <c r="F63" s="623"/>
      <c r="G63" s="623"/>
      <c r="H63" s="623"/>
      <c r="I63" s="623"/>
      <c r="J63" s="623"/>
      <c r="K63" s="623"/>
      <c r="L63" s="623"/>
      <c r="M63" s="623"/>
      <c r="N63" s="623"/>
      <c r="O63" s="623"/>
      <c r="P63" s="24"/>
      <c r="Q63" s="24"/>
      <c r="R63" s="24"/>
      <c r="S63" s="24"/>
      <c r="T63" s="24"/>
      <c r="U63" s="24"/>
      <c r="V63" s="24"/>
      <c r="W63" s="24"/>
      <c r="X63" s="24"/>
      <c r="Y63" s="24"/>
    </row>
    <row r="64" spans="1:25" ht="15.75" customHeight="1" x14ac:dyDescent="0.25">
      <c r="A64" s="25"/>
      <c r="B64" s="623"/>
      <c r="C64" s="623"/>
      <c r="D64" s="623"/>
      <c r="E64" s="623"/>
      <c r="F64" s="623"/>
      <c r="G64" s="623"/>
      <c r="H64" s="623"/>
      <c r="I64" s="623"/>
      <c r="J64" s="623"/>
      <c r="K64" s="623"/>
      <c r="L64" s="623"/>
      <c r="M64" s="623"/>
      <c r="N64" s="623"/>
      <c r="O64" s="623"/>
      <c r="P64" s="24"/>
      <c r="Q64" s="24"/>
      <c r="R64" s="24"/>
      <c r="S64" s="24"/>
      <c r="T64" s="24"/>
      <c r="U64" s="24"/>
      <c r="V64" s="24"/>
      <c r="W64" s="24"/>
      <c r="X64" s="24"/>
      <c r="Y64" s="24"/>
    </row>
    <row r="65" spans="1:25" ht="15.75" customHeight="1" x14ac:dyDescent="0.25">
      <c r="A65" s="25"/>
      <c r="B65" s="623"/>
      <c r="C65" s="623"/>
      <c r="D65" s="623"/>
      <c r="E65" s="623"/>
      <c r="F65" s="623"/>
      <c r="G65" s="623"/>
      <c r="H65" s="623"/>
      <c r="I65" s="623"/>
      <c r="J65" s="623"/>
      <c r="K65" s="623"/>
      <c r="L65" s="623"/>
      <c r="M65" s="623"/>
      <c r="N65" s="623"/>
      <c r="O65" s="623"/>
      <c r="P65" s="24"/>
      <c r="Q65" s="24"/>
      <c r="R65" s="24"/>
      <c r="S65" s="24"/>
      <c r="T65" s="24"/>
      <c r="U65" s="24"/>
      <c r="V65" s="24"/>
      <c r="W65" s="24"/>
      <c r="X65" s="24"/>
      <c r="Y65" s="24"/>
    </row>
    <row r="66" spans="1:25" ht="15.75" customHeight="1" x14ac:dyDescent="0.25">
      <c r="A66" s="25"/>
      <c r="B66" s="623"/>
      <c r="C66" s="623"/>
      <c r="D66" s="623"/>
      <c r="E66" s="623"/>
      <c r="F66" s="623"/>
      <c r="G66" s="623"/>
      <c r="H66" s="623"/>
      <c r="I66" s="623"/>
      <c r="J66" s="623"/>
      <c r="K66" s="623"/>
      <c r="L66" s="623"/>
      <c r="M66" s="623"/>
      <c r="N66" s="623"/>
      <c r="O66" s="623"/>
      <c r="P66" s="24"/>
      <c r="Q66" s="24"/>
      <c r="R66" s="24"/>
      <c r="S66" s="24"/>
      <c r="T66" s="24"/>
      <c r="U66" s="24"/>
      <c r="V66" s="24"/>
      <c r="W66" s="24"/>
      <c r="X66" s="24"/>
      <c r="Y66" s="24"/>
    </row>
    <row r="67" spans="1:25" ht="15.75" customHeight="1" x14ac:dyDescent="0.25">
      <c r="A67" s="25"/>
      <c r="B67" s="623"/>
      <c r="C67" s="623"/>
      <c r="D67" s="623"/>
      <c r="E67" s="623"/>
      <c r="F67" s="623"/>
      <c r="G67" s="623"/>
      <c r="H67" s="623"/>
      <c r="I67" s="623"/>
      <c r="J67" s="623"/>
      <c r="K67" s="623"/>
      <c r="L67" s="623"/>
      <c r="M67" s="623"/>
      <c r="N67" s="623"/>
      <c r="O67" s="623"/>
      <c r="P67" s="24"/>
      <c r="Q67" s="24"/>
      <c r="R67" s="24"/>
      <c r="S67" s="24"/>
      <c r="T67" s="24"/>
      <c r="U67" s="24"/>
      <c r="V67" s="24"/>
      <c r="W67" s="24"/>
      <c r="X67" s="24"/>
      <c r="Y67" s="24"/>
    </row>
    <row r="68" spans="1:25" ht="15.75" customHeight="1" x14ac:dyDescent="0.25">
      <c r="A68" s="25"/>
      <c r="B68" s="623"/>
      <c r="C68" s="623"/>
      <c r="D68" s="623"/>
      <c r="E68" s="623"/>
      <c r="F68" s="623"/>
      <c r="G68" s="623"/>
      <c r="H68" s="623"/>
      <c r="I68" s="623"/>
      <c r="J68" s="623"/>
      <c r="K68" s="623"/>
      <c r="L68" s="623"/>
      <c r="M68" s="623"/>
      <c r="N68" s="623"/>
      <c r="O68" s="623"/>
      <c r="P68" s="24"/>
      <c r="Q68" s="24"/>
      <c r="R68" s="24"/>
      <c r="S68" s="24"/>
      <c r="T68" s="24"/>
      <c r="U68" s="24"/>
      <c r="V68" s="24"/>
      <c r="W68" s="24"/>
      <c r="X68" s="24"/>
      <c r="Y68" s="24"/>
    </row>
    <row r="69" spans="1:25" ht="15.75" customHeight="1" x14ac:dyDescent="0.25">
      <c r="A69" s="25"/>
      <c r="B69" s="623"/>
      <c r="C69" s="623"/>
      <c r="D69" s="623"/>
      <c r="E69" s="623"/>
      <c r="F69" s="623"/>
      <c r="G69" s="623"/>
      <c r="H69" s="623"/>
      <c r="I69" s="623"/>
      <c r="J69" s="623"/>
      <c r="K69" s="623"/>
      <c r="L69" s="623"/>
      <c r="M69" s="623"/>
      <c r="N69" s="623"/>
      <c r="O69" s="623"/>
      <c r="P69" s="24"/>
      <c r="Q69" s="24"/>
      <c r="R69" s="24"/>
      <c r="S69" s="24"/>
      <c r="T69" s="24"/>
      <c r="U69" s="24"/>
      <c r="V69" s="24"/>
      <c r="W69" s="24"/>
      <c r="X69" s="24"/>
      <c r="Y69" s="24"/>
    </row>
    <row r="70" spans="1:25" ht="15.75" customHeight="1" x14ac:dyDescent="0.25">
      <c r="A70" s="25"/>
      <c r="B70" s="623"/>
      <c r="C70" s="623"/>
      <c r="D70" s="623"/>
      <c r="E70" s="623"/>
      <c r="F70" s="623"/>
      <c r="G70" s="623"/>
      <c r="H70" s="623"/>
      <c r="I70" s="623"/>
      <c r="J70" s="623"/>
      <c r="K70" s="623"/>
      <c r="L70" s="623"/>
      <c r="M70" s="623"/>
      <c r="N70" s="623"/>
      <c r="O70" s="623"/>
      <c r="P70" s="24"/>
      <c r="Q70" s="24"/>
      <c r="R70" s="24"/>
      <c r="S70" s="24"/>
      <c r="T70" s="24"/>
      <c r="U70" s="24"/>
      <c r="V70" s="24"/>
      <c r="W70" s="24"/>
      <c r="X70" s="24"/>
      <c r="Y70" s="24"/>
    </row>
    <row r="71" spans="1:25" ht="15.75" customHeight="1" x14ac:dyDescent="0.25">
      <c r="A71" s="25"/>
      <c r="B71" s="623"/>
      <c r="C71" s="623"/>
      <c r="D71" s="623"/>
      <c r="E71" s="623"/>
      <c r="F71" s="623"/>
      <c r="G71" s="623"/>
      <c r="H71" s="623"/>
      <c r="I71" s="623"/>
      <c r="J71" s="623"/>
      <c r="K71" s="623"/>
      <c r="L71" s="623"/>
      <c r="M71" s="623"/>
      <c r="N71" s="623"/>
      <c r="O71" s="623"/>
      <c r="P71" s="24"/>
      <c r="Q71" s="24"/>
      <c r="R71" s="24"/>
      <c r="S71" s="24"/>
      <c r="T71" s="24"/>
      <c r="U71" s="24"/>
      <c r="V71" s="24"/>
      <c r="W71" s="24"/>
      <c r="X71" s="24"/>
      <c r="Y71" s="24"/>
    </row>
    <row r="72" spans="1:25" ht="15.75" customHeight="1" x14ac:dyDescent="0.25">
      <c r="A72" s="25"/>
      <c r="B72" s="623"/>
      <c r="C72" s="623"/>
      <c r="D72" s="623"/>
      <c r="E72" s="623"/>
      <c r="F72" s="623"/>
      <c r="G72" s="623"/>
      <c r="H72" s="623"/>
      <c r="I72" s="623"/>
      <c r="J72" s="623"/>
      <c r="K72" s="623"/>
      <c r="L72" s="623"/>
      <c r="M72" s="623"/>
      <c r="N72" s="623"/>
      <c r="O72" s="623"/>
      <c r="P72" s="24"/>
      <c r="Q72" s="24"/>
      <c r="R72" s="24"/>
      <c r="S72" s="24"/>
      <c r="T72" s="24"/>
      <c r="U72" s="24"/>
      <c r="V72" s="24"/>
      <c r="W72" s="24"/>
      <c r="X72" s="24"/>
      <c r="Y72" s="24"/>
    </row>
    <row r="73" spans="1:25" ht="15.75" customHeight="1" x14ac:dyDescent="0.25">
      <c r="A73" s="25"/>
      <c r="B73" s="623"/>
      <c r="C73" s="623"/>
      <c r="D73" s="623"/>
      <c r="E73" s="623"/>
      <c r="F73" s="623"/>
      <c r="G73" s="623"/>
      <c r="H73" s="623"/>
      <c r="I73" s="623"/>
      <c r="J73" s="623"/>
      <c r="K73" s="623"/>
      <c r="L73" s="623"/>
      <c r="M73" s="623"/>
      <c r="N73" s="623"/>
      <c r="O73" s="623"/>
      <c r="P73" s="24"/>
      <c r="Q73" s="24"/>
      <c r="R73" s="24"/>
      <c r="S73" s="24"/>
      <c r="T73" s="24"/>
      <c r="U73" s="24"/>
      <c r="V73" s="24"/>
      <c r="W73" s="24"/>
      <c r="X73" s="24"/>
      <c r="Y73" s="24"/>
    </row>
    <row r="74" spans="1:25" ht="15.75" customHeight="1" x14ac:dyDescent="0.25">
      <c r="A74" s="25"/>
      <c r="B74" s="623"/>
      <c r="C74" s="623"/>
      <c r="D74" s="623"/>
      <c r="E74" s="623"/>
      <c r="F74" s="623"/>
      <c r="G74" s="623"/>
      <c r="H74" s="623"/>
      <c r="I74" s="623"/>
      <c r="J74" s="623"/>
      <c r="K74" s="623"/>
      <c r="L74" s="623"/>
      <c r="M74" s="623"/>
      <c r="N74" s="623"/>
      <c r="O74" s="623"/>
      <c r="P74" s="24"/>
      <c r="Q74" s="24"/>
      <c r="R74" s="24"/>
      <c r="S74" s="24"/>
      <c r="T74" s="24"/>
      <c r="U74" s="24"/>
      <c r="V74" s="24"/>
      <c r="W74" s="24"/>
      <c r="X74" s="24"/>
      <c r="Y74" s="24"/>
    </row>
    <row r="75" spans="1:25" ht="15.75" customHeight="1" x14ac:dyDescent="0.25">
      <c r="A75" s="25"/>
      <c r="B75" s="623"/>
      <c r="C75" s="623"/>
      <c r="D75" s="623"/>
      <c r="E75" s="623"/>
      <c r="F75" s="623"/>
      <c r="G75" s="623"/>
      <c r="H75" s="623"/>
      <c r="I75" s="623"/>
      <c r="J75" s="623"/>
      <c r="K75" s="623"/>
      <c r="L75" s="623"/>
      <c r="M75" s="623"/>
      <c r="N75" s="623"/>
      <c r="O75" s="623"/>
      <c r="P75" s="24"/>
      <c r="Q75" s="24"/>
      <c r="R75" s="24"/>
      <c r="S75" s="24"/>
      <c r="T75" s="24"/>
      <c r="U75" s="24"/>
      <c r="V75" s="24"/>
      <c r="W75" s="24"/>
      <c r="X75" s="24"/>
      <c r="Y75" s="24"/>
    </row>
    <row r="76" spans="1:25" ht="15.75" customHeight="1" x14ac:dyDescent="0.25">
      <c r="A76" s="25"/>
      <c r="B76" s="623"/>
      <c r="C76" s="623"/>
      <c r="D76" s="623"/>
      <c r="E76" s="623"/>
      <c r="F76" s="623"/>
      <c r="G76" s="623"/>
      <c r="H76" s="623"/>
      <c r="I76" s="623"/>
      <c r="J76" s="623"/>
      <c r="K76" s="623"/>
      <c r="L76" s="623"/>
      <c r="M76" s="623"/>
      <c r="N76" s="623"/>
      <c r="O76" s="623"/>
      <c r="P76" s="24"/>
      <c r="Q76" s="24"/>
      <c r="R76" s="24"/>
      <c r="S76" s="24"/>
      <c r="T76" s="24"/>
      <c r="U76" s="24"/>
      <c r="V76" s="24"/>
      <c r="W76" s="24"/>
      <c r="X76" s="24"/>
      <c r="Y76" s="24"/>
    </row>
    <row r="77" spans="1:25" ht="15.75" customHeight="1" x14ac:dyDescent="0.25">
      <c r="A77" s="25"/>
      <c r="B77" s="623"/>
      <c r="C77" s="623"/>
      <c r="D77" s="623"/>
      <c r="E77" s="623"/>
      <c r="F77" s="623"/>
      <c r="G77" s="623"/>
      <c r="H77" s="623"/>
      <c r="I77" s="623"/>
      <c r="J77" s="623"/>
      <c r="K77" s="623"/>
      <c r="L77" s="623"/>
      <c r="M77" s="623"/>
      <c r="N77" s="623"/>
      <c r="O77" s="623"/>
      <c r="P77" s="24"/>
      <c r="Q77" s="24"/>
      <c r="R77" s="24"/>
      <c r="S77" s="24"/>
      <c r="T77" s="24"/>
      <c r="U77" s="24"/>
      <c r="V77" s="24"/>
      <c r="W77" s="24"/>
      <c r="X77" s="24"/>
      <c r="Y77" s="24"/>
    </row>
    <row r="78" spans="1:25" ht="15.75" customHeight="1" x14ac:dyDescent="0.25">
      <c r="A78" s="25"/>
      <c r="B78" s="623"/>
      <c r="C78" s="623"/>
      <c r="D78" s="623"/>
      <c r="E78" s="623"/>
      <c r="F78" s="623"/>
      <c r="G78" s="623"/>
      <c r="H78" s="623"/>
      <c r="I78" s="623"/>
      <c r="J78" s="623"/>
      <c r="K78" s="623"/>
      <c r="L78" s="623"/>
      <c r="M78" s="623"/>
      <c r="N78" s="623"/>
      <c r="O78" s="623"/>
      <c r="P78" s="24"/>
      <c r="Q78" s="24"/>
      <c r="R78" s="24"/>
      <c r="S78" s="24"/>
      <c r="T78" s="24"/>
      <c r="U78" s="24"/>
      <c r="V78" s="24"/>
      <c r="W78" s="24"/>
      <c r="X78" s="24"/>
      <c r="Y78" s="24"/>
    </row>
    <row r="79" spans="1:25" ht="15.75" customHeight="1" x14ac:dyDescent="0.25">
      <c r="A79" s="25"/>
      <c r="B79" s="623"/>
      <c r="C79" s="623"/>
      <c r="D79" s="623"/>
      <c r="E79" s="623"/>
      <c r="F79" s="623"/>
      <c r="G79" s="623"/>
      <c r="H79" s="623"/>
      <c r="I79" s="623"/>
      <c r="J79" s="623"/>
      <c r="K79" s="623"/>
      <c r="L79" s="623"/>
      <c r="M79" s="623"/>
      <c r="N79" s="623"/>
      <c r="O79" s="623"/>
      <c r="P79" s="24"/>
      <c r="Q79" s="24"/>
      <c r="R79" s="24"/>
      <c r="S79" s="24"/>
      <c r="T79" s="24"/>
      <c r="U79" s="24"/>
      <c r="V79" s="24"/>
      <c r="W79" s="24"/>
      <c r="X79" s="24"/>
      <c r="Y79" s="24"/>
    </row>
    <row r="80" spans="1:25" ht="15.75" customHeight="1" x14ac:dyDescent="0.25">
      <c r="A80" s="25"/>
      <c r="B80" s="623"/>
      <c r="C80" s="623"/>
      <c r="D80" s="623"/>
      <c r="E80" s="623"/>
      <c r="F80" s="623"/>
      <c r="G80" s="623"/>
      <c r="H80" s="623"/>
      <c r="I80" s="623"/>
      <c r="J80" s="623"/>
      <c r="K80" s="623"/>
      <c r="L80" s="623"/>
      <c r="M80" s="623"/>
      <c r="N80" s="623"/>
      <c r="O80" s="623"/>
      <c r="P80" s="24"/>
      <c r="Q80" s="24"/>
      <c r="R80" s="24"/>
      <c r="S80" s="24"/>
      <c r="T80" s="24"/>
      <c r="U80" s="24"/>
      <c r="V80" s="24"/>
      <c r="W80" s="24"/>
      <c r="X80" s="24"/>
      <c r="Y80" s="24"/>
    </row>
    <row r="81" spans="1:25" ht="15.75" customHeight="1" x14ac:dyDescent="0.25">
      <c r="A81" s="25"/>
      <c r="B81" s="623"/>
      <c r="C81" s="623"/>
      <c r="D81" s="623"/>
      <c r="E81" s="623"/>
      <c r="F81" s="623"/>
      <c r="G81" s="623"/>
      <c r="H81" s="623"/>
      <c r="I81" s="623"/>
      <c r="J81" s="623"/>
      <c r="K81" s="623"/>
      <c r="L81" s="623"/>
      <c r="M81" s="623"/>
      <c r="N81" s="623"/>
      <c r="O81" s="623"/>
      <c r="P81" s="24"/>
      <c r="Q81" s="24"/>
      <c r="R81" s="24"/>
      <c r="S81" s="24"/>
      <c r="T81" s="24"/>
      <c r="U81" s="24"/>
      <c r="V81" s="24"/>
      <c r="W81" s="24"/>
      <c r="X81" s="24"/>
      <c r="Y81" s="24"/>
    </row>
    <row r="82" spans="1:25" ht="15.75" customHeight="1" x14ac:dyDescent="0.25">
      <c r="A82" s="25"/>
      <c r="B82" s="623"/>
      <c r="C82" s="623"/>
      <c r="D82" s="623"/>
      <c r="E82" s="623"/>
      <c r="F82" s="623"/>
      <c r="G82" s="623"/>
      <c r="H82" s="623"/>
      <c r="I82" s="623"/>
      <c r="J82" s="623"/>
      <c r="K82" s="623"/>
      <c r="L82" s="623"/>
      <c r="M82" s="623"/>
      <c r="N82" s="623"/>
      <c r="O82" s="623"/>
      <c r="P82" s="24"/>
      <c r="Q82" s="24"/>
      <c r="R82" s="24"/>
      <c r="S82" s="24"/>
      <c r="T82" s="24"/>
      <c r="U82" s="24"/>
      <c r="V82" s="24"/>
      <c r="W82" s="24"/>
      <c r="X82" s="24"/>
      <c r="Y82" s="24"/>
    </row>
    <row r="83" spans="1:25" ht="15.75" customHeight="1" x14ac:dyDescent="0.25">
      <c r="A83" s="25"/>
      <c r="B83" s="623"/>
      <c r="C83" s="623"/>
      <c r="D83" s="623"/>
      <c r="E83" s="623"/>
      <c r="F83" s="623"/>
      <c r="G83" s="623"/>
      <c r="H83" s="623"/>
      <c r="I83" s="623"/>
      <c r="J83" s="623"/>
      <c r="K83" s="623"/>
      <c r="L83" s="623"/>
      <c r="M83" s="623"/>
      <c r="N83" s="623"/>
      <c r="O83" s="623"/>
      <c r="P83" s="24"/>
      <c r="Q83" s="24"/>
      <c r="R83" s="24"/>
      <c r="S83" s="24"/>
      <c r="T83" s="24"/>
      <c r="U83" s="24"/>
      <c r="V83" s="24"/>
      <c r="W83" s="24"/>
      <c r="X83" s="24"/>
      <c r="Y83" s="24"/>
    </row>
    <row r="84" spans="1:25" ht="15.75" customHeight="1" x14ac:dyDescent="0.25">
      <c r="A84" s="25"/>
      <c r="B84" s="623"/>
      <c r="C84" s="623"/>
      <c r="D84" s="623"/>
      <c r="E84" s="623"/>
      <c r="F84" s="623"/>
      <c r="G84" s="623"/>
      <c r="H84" s="623"/>
      <c r="I84" s="623"/>
      <c r="J84" s="623"/>
      <c r="K84" s="623"/>
      <c r="L84" s="623"/>
      <c r="M84" s="623"/>
      <c r="N84" s="623"/>
      <c r="O84" s="623"/>
      <c r="P84" s="24"/>
      <c r="Q84" s="24"/>
      <c r="R84" s="24"/>
      <c r="S84" s="24"/>
      <c r="T84" s="24"/>
      <c r="U84" s="24"/>
      <c r="V84" s="24"/>
      <c r="W84" s="24"/>
      <c r="X84" s="24"/>
      <c r="Y84" s="24"/>
    </row>
    <row r="85" spans="1:25" ht="15.75" customHeight="1" x14ac:dyDescent="0.25">
      <c r="A85" s="25"/>
      <c r="B85" s="623"/>
      <c r="C85" s="623"/>
      <c r="D85" s="623"/>
      <c r="E85" s="623"/>
      <c r="F85" s="623"/>
      <c r="G85" s="623"/>
      <c r="H85" s="623"/>
      <c r="I85" s="623"/>
      <c r="J85" s="623"/>
      <c r="K85" s="623"/>
      <c r="L85" s="623"/>
      <c r="M85" s="623"/>
      <c r="N85" s="623"/>
      <c r="O85" s="623"/>
      <c r="P85" s="24"/>
      <c r="Q85" s="24"/>
      <c r="R85" s="24"/>
      <c r="S85" s="24"/>
      <c r="T85" s="24"/>
      <c r="U85" s="24"/>
      <c r="V85" s="24"/>
      <c r="W85" s="24"/>
      <c r="X85" s="24"/>
      <c r="Y85" s="24"/>
    </row>
    <row r="86" spans="1:25" ht="15.75" customHeight="1" x14ac:dyDescent="0.25">
      <c r="A86" s="25"/>
      <c r="B86" s="623"/>
      <c r="C86" s="623"/>
      <c r="D86" s="623"/>
      <c r="E86" s="623"/>
      <c r="F86" s="623"/>
      <c r="G86" s="623"/>
      <c r="H86" s="623"/>
      <c r="I86" s="623"/>
      <c r="J86" s="623"/>
      <c r="K86" s="623"/>
      <c r="L86" s="623"/>
      <c r="M86" s="623"/>
      <c r="N86" s="623"/>
      <c r="O86" s="623"/>
      <c r="P86" s="24"/>
      <c r="Q86" s="24"/>
      <c r="R86" s="24"/>
      <c r="S86" s="24"/>
      <c r="T86" s="24"/>
      <c r="U86" s="24"/>
      <c r="V86" s="24"/>
      <c r="W86" s="24"/>
      <c r="X86" s="24"/>
      <c r="Y86" s="24"/>
    </row>
    <row r="87" spans="1:25" ht="15.75" customHeight="1" x14ac:dyDescent="0.25">
      <c r="A87" s="25"/>
      <c r="B87" s="623"/>
      <c r="C87" s="623"/>
      <c r="D87" s="623"/>
      <c r="E87" s="623"/>
      <c r="F87" s="623"/>
      <c r="G87" s="623"/>
      <c r="H87" s="623"/>
      <c r="I87" s="623"/>
      <c r="J87" s="623"/>
      <c r="K87" s="623"/>
      <c r="L87" s="623"/>
      <c r="M87" s="623"/>
      <c r="N87" s="623"/>
      <c r="O87" s="623"/>
      <c r="P87" s="24"/>
      <c r="Q87" s="24"/>
      <c r="R87" s="24"/>
      <c r="S87" s="24"/>
      <c r="T87" s="24"/>
      <c r="U87" s="24"/>
      <c r="V87" s="24"/>
      <c r="W87" s="24"/>
      <c r="X87" s="24"/>
      <c r="Y87" s="24"/>
    </row>
    <row r="88" spans="1:25" ht="15.75" customHeight="1" x14ac:dyDescent="0.25">
      <c r="A88" s="25"/>
      <c r="B88" s="624"/>
      <c r="C88" s="623"/>
      <c r="D88" s="623"/>
      <c r="E88" s="623"/>
      <c r="F88" s="623"/>
      <c r="G88" s="623"/>
      <c r="H88" s="623"/>
      <c r="I88" s="623"/>
      <c r="J88" s="623"/>
      <c r="K88" s="623"/>
      <c r="L88" s="623"/>
      <c r="M88" s="623"/>
      <c r="N88" s="623"/>
      <c r="O88" s="623"/>
      <c r="P88" s="24"/>
      <c r="Q88" s="24"/>
      <c r="R88" s="24"/>
      <c r="S88" s="24"/>
      <c r="T88" s="24"/>
      <c r="U88" s="24"/>
      <c r="V88" s="24"/>
      <c r="W88" s="24"/>
      <c r="X88" s="24"/>
      <c r="Y88" s="24"/>
    </row>
    <row r="89" spans="1:25" ht="15.75" customHeight="1" x14ac:dyDescent="0.25">
      <c r="A89" s="25"/>
      <c r="B89" s="623"/>
      <c r="C89" s="623"/>
      <c r="D89" s="623"/>
      <c r="E89" s="623"/>
      <c r="F89" s="623"/>
      <c r="G89" s="623"/>
      <c r="H89" s="623"/>
      <c r="I89" s="623"/>
      <c r="J89" s="623"/>
      <c r="K89" s="623"/>
      <c r="L89" s="623"/>
      <c r="M89" s="623"/>
      <c r="N89" s="623"/>
      <c r="O89" s="623"/>
      <c r="P89" s="24"/>
      <c r="Q89" s="24"/>
      <c r="R89" s="24"/>
      <c r="S89" s="24"/>
      <c r="T89" s="24"/>
      <c r="U89" s="24"/>
      <c r="V89" s="24"/>
      <c r="W89" s="24"/>
      <c r="X89" s="24"/>
      <c r="Y89" s="24"/>
    </row>
    <row r="90" spans="1:25" ht="15.75" customHeight="1" x14ac:dyDescent="0.25">
      <c r="A90" s="25"/>
      <c r="B90" s="623"/>
      <c r="C90" s="623"/>
      <c r="D90" s="623"/>
      <c r="E90" s="623"/>
      <c r="F90" s="623"/>
      <c r="G90" s="623"/>
      <c r="H90" s="623"/>
      <c r="I90" s="623"/>
      <c r="J90" s="623"/>
      <c r="K90" s="623"/>
      <c r="L90" s="623"/>
      <c r="M90" s="623"/>
      <c r="N90" s="623"/>
      <c r="O90" s="623"/>
      <c r="P90" s="24"/>
      <c r="Q90" s="24"/>
      <c r="R90" s="24"/>
      <c r="S90" s="24"/>
      <c r="T90" s="24"/>
      <c r="U90" s="24"/>
      <c r="V90" s="24"/>
      <c r="W90" s="24"/>
      <c r="X90" s="24"/>
      <c r="Y90" s="24"/>
    </row>
    <row r="91" spans="1:25" ht="15.75" customHeight="1" x14ac:dyDescent="0.25">
      <c r="A91" s="25"/>
      <c r="B91" s="623"/>
      <c r="C91" s="623"/>
      <c r="D91" s="623"/>
      <c r="E91" s="623"/>
      <c r="F91" s="623"/>
      <c r="G91" s="623"/>
      <c r="H91" s="623"/>
      <c r="I91" s="623"/>
      <c r="J91" s="623"/>
      <c r="K91" s="623"/>
      <c r="L91" s="623"/>
      <c r="M91" s="623"/>
      <c r="N91" s="623"/>
      <c r="O91" s="623"/>
      <c r="P91" s="24"/>
      <c r="Q91" s="24"/>
      <c r="R91" s="24"/>
      <c r="S91" s="24"/>
      <c r="T91" s="24"/>
      <c r="U91" s="24"/>
      <c r="V91" s="24"/>
      <c r="W91" s="24"/>
      <c r="X91" s="24"/>
      <c r="Y91" s="24"/>
    </row>
    <row r="92" spans="1:25" ht="15.75" customHeight="1" x14ac:dyDescent="0.25">
      <c r="A92" s="25"/>
      <c r="B92" s="623"/>
      <c r="C92" s="623"/>
      <c r="D92" s="623"/>
      <c r="E92" s="623"/>
      <c r="F92" s="623"/>
      <c r="G92" s="623"/>
      <c r="H92" s="623"/>
      <c r="I92" s="623"/>
      <c r="J92" s="623"/>
      <c r="K92" s="623"/>
      <c r="L92" s="623"/>
      <c r="M92" s="623"/>
      <c r="N92" s="623"/>
      <c r="O92" s="623"/>
      <c r="P92" s="24"/>
      <c r="Q92" s="24"/>
      <c r="R92" s="24"/>
      <c r="S92" s="24"/>
      <c r="T92" s="24"/>
      <c r="U92" s="24"/>
      <c r="V92" s="24"/>
      <c r="W92" s="24"/>
      <c r="X92" s="24"/>
      <c r="Y92" s="24"/>
    </row>
    <row r="93" spans="1:25" ht="15.75" customHeight="1" x14ac:dyDescent="0.25">
      <c r="A93" s="25"/>
      <c r="B93" s="623"/>
      <c r="C93" s="623"/>
      <c r="D93" s="623"/>
      <c r="E93" s="623"/>
      <c r="F93" s="623"/>
      <c r="G93" s="623"/>
      <c r="H93" s="623"/>
      <c r="I93" s="623"/>
      <c r="J93" s="623"/>
      <c r="K93" s="623"/>
      <c r="L93" s="623"/>
      <c r="M93" s="623"/>
      <c r="N93" s="623"/>
      <c r="O93" s="623"/>
      <c r="P93" s="24"/>
      <c r="Q93" s="24"/>
      <c r="R93" s="24"/>
      <c r="S93" s="24"/>
      <c r="T93" s="24"/>
      <c r="U93" s="24"/>
      <c r="V93" s="24"/>
      <c r="W93" s="24"/>
      <c r="X93" s="24"/>
      <c r="Y93" s="24"/>
    </row>
    <row r="94" spans="1:25" ht="15.75" customHeight="1" x14ac:dyDescent="0.25">
      <c r="A94" s="25"/>
      <c r="B94" s="623"/>
      <c r="C94" s="623"/>
      <c r="D94" s="623"/>
      <c r="E94" s="623"/>
      <c r="F94" s="623"/>
      <c r="G94" s="623"/>
      <c r="H94" s="623"/>
      <c r="I94" s="623"/>
      <c r="J94" s="623"/>
      <c r="K94" s="623"/>
      <c r="L94" s="623"/>
      <c r="M94" s="623"/>
      <c r="N94" s="623"/>
      <c r="O94" s="623"/>
      <c r="P94" s="24"/>
      <c r="Q94" s="24"/>
      <c r="R94" s="24"/>
      <c r="S94" s="24"/>
      <c r="T94" s="24"/>
      <c r="U94" s="24"/>
      <c r="V94" s="24"/>
      <c r="W94" s="24"/>
      <c r="X94" s="24"/>
      <c r="Y94" s="24"/>
    </row>
    <row r="95" spans="1:25" ht="15.75" customHeight="1" x14ac:dyDescent="0.25">
      <c r="A95" s="25"/>
      <c r="B95" s="623"/>
      <c r="C95" s="623"/>
      <c r="D95" s="623"/>
      <c r="E95" s="623"/>
      <c r="F95" s="623"/>
      <c r="G95" s="623"/>
      <c r="H95" s="623"/>
      <c r="I95" s="623"/>
      <c r="J95" s="623"/>
      <c r="K95" s="623"/>
      <c r="L95" s="623"/>
      <c r="M95" s="623"/>
      <c r="N95" s="623"/>
      <c r="O95" s="623"/>
      <c r="P95" s="24"/>
      <c r="Q95" s="24"/>
      <c r="R95" s="24"/>
      <c r="S95" s="24"/>
      <c r="T95" s="24"/>
      <c r="U95" s="24"/>
      <c r="V95" s="24"/>
      <c r="W95" s="24"/>
      <c r="X95" s="24"/>
      <c r="Y95" s="24"/>
    </row>
    <row r="96" spans="1:25" ht="15.75" customHeight="1" x14ac:dyDescent="0.25">
      <c r="A96" s="25"/>
      <c r="B96" s="623"/>
      <c r="C96" s="623"/>
      <c r="D96" s="623"/>
      <c r="E96" s="623"/>
      <c r="F96" s="623"/>
      <c r="G96" s="623"/>
      <c r="H96" s="623"/>
      <c r="I96" s="623"/>
      <c r="J96" s="623"/>
      <c r="K96" s="623"/>
      <c r="L96" s="623"/>
      <c r="M96" s="623"/>
      <c r="N96" s="623"/>
      <c r="O96" s="623"/>
      <c r="P96" s="24"/>
      <c r="Q96" s="24"/>
      <c r="R96" s="24"/>
      <c r="S96" s="24"/>
      <c r="T96" s="24"/>
      <c r="U96" s="24"/>
      <c r="V96" s="24"/>
      <c r="W96" s="24"/>
      <c r="X96" s="24"/>
      <c r="Y96" s="24"/>
    </row>
    <row r="97" spans="1:25" ht="15.75" customHeight="1" x14ac:dyDescent="0.25">
      <c r="A97" s="25"/>
      <c r="B97" s="623"/>
      <c r="C97" s="623"/>
      <c r="D97" s="623"/>
      <c r="E97" s="623"/>
      <c r="F97" s="623"/>
      <c r="G97" s="623"/>
      <c r="H97" s="623"/>
      <c r="I97" s="623"/>
      <c r="J97" s="623"/>
      <c r="K97" s="623"/>
      <c r="L97" s="623"/>
      <c r="M97" s="623"/>
      <c r="N97" s="623"/>
      <c r="O97" s="623"/>
      <c r="P97" s="24"/>
      <c r="Q97" s="24"/>
      <c r="R97" s="24"/>
      <c r="S97" s="24"/>
      <c r="T97" s="24"/>
      <c r="U97" s="24"/>
      <c r="V97" s="24"/>
      <c r="W97" s="24"/>
      <c r="X97" s="24"/>
      <c r="Y97" s="24"/>
    </row>
    <row r="98" spans="1:25" ht="15.75" customHeight="1" x14ac:dyDescent="0.25">
      <c r="A98" s="25"/>
      <c r="B98" s="623"/>
      <c r="C98" s="623"/>
      <c r="D98" s="623"/>
      <c r="E98" s="623"/>
      <c r="F98" s="623"/>
      <c r="G98" s="623"/>
      <c r="H98" s="623"/>
      <c r="I98" s="623"/>
      <c r="J98" s="623"/>
      <c r="K98" s="623"/>
      <c r="L98" s="623"/>
      <c r="M98" s="623"/>
      <c r="N98" s="623"/>
      <c r="O98" s="623"/>
      <c r="P98" s="24"/>
      <c r="Q98" s="24"/>
      <c r="R98" s="24"/>
      <c r="S98" s="24"/>
      <c r="T98" s="24"/>
      <c r="U98" s="24"/>
      <c r="V98" s="24"/>
      <c r="W98" s="24"/>
      <c r="X98" s="24"/>
      <c r="Y98" s="24"/>
    </row>
    <row r="99" spans="1:25" ht="15.75" customHeight="1" x14ac:dyDescent="0.25">
      <c r="A99" s="25"/>
      <c r="B99" s="623"/>
      <c r="C99" s="623"/>
      <c r="D99" s="623"/>
      <c r="E99" s="623"/>
      <c r="F99" s="623"/>
      <c r="G99" s="623"/>
      <c r="H99" s="623"/>
      <c r="I99" s="623"/>
      <c r="J99" s="623"/>
      <c r="K99" s="623"/>
      <c r="L99" s="623"/>
      <c r="M99" s="623"/>
      <c r="N99" s="623"/>
      <c r="O99" s="623"/>
      <c r="P99" s="24"/>
      <c r="Q99" s="24"/>
      <c r="R99" s="24"/>
      <c r="S99" s="24"/>
      <c r="T99" s="24"/>
      <c r="U99" s="24"/>
      <c r="V99" s="24"/>
      <c r="W99" s="24"/>
      <c r="X99" s="24"/>
      <c r="Y99" s="24"/>
    </row>
    <row r="100" spans="1:25" ht="15.75" customHeight="1" x14ac:dyDescent="0.25">
      <c r="A100" s="25"/>
      <c r="B100" s="623"/>
      <c r="C100" s="623"/>
      <c r="D100" s="623"/>
      <c r="E100" s="623"/>
      <c r="F100" s="623"/>
      <c r="G100" s="623"/>
      <c r="H100" s="623"/>
      <c r="I100" s="623"/>
      <c r="J100" s="623"/>
      <c r="K100" s="623"/>
      <c r="L100" s="623"/>
      <c r="M100" s="623"/>
      <c r="N100" s="623"/>
      <c r="O100" s="623"/>
      <c r="P100" s="24"/>
      <c r="Q100" s="24"/>
      <c r="R100" s="24"/>
      <c r="S100" s="24"/>
      <c r="T100" s="24"/>
      <c r="U100" s="24"/>
      <c r="V100" s="24"/>
      <c r="W100" s="24"/>
      <c r="X100" s="24"/>
      <c r="Y100" s="24"/>
    </row>
    <row r="101" spans="1:25" ht="15.75" customHeight="1" x14ac:dyDescent="0.25">
      <c r="A101" s="25"/>
      <c r="B101" s="623"/>
      <c r="C101" s="623"/>
      <c r="D101" s="623"/>
      <c r="E101" s="623"/>
      <c r="F101" s="623"/>
      <c r="G101" s="623"/>
      <c r="H101" s="623"/>
      <c r="I101" s="623"/>
      <c r="J101" s="623"/>
      <c r="K101" s="623"/>
      <c r="L101" s="623"/>
      <c r="M101" s="623"/>
      <c r="N101" s="623"/>
      <c r="O101" s="623"/>
      <c r="P101" s="24"/>
      <c r="Q101" s="24"/>
      <c r="R101" s="24"/>
      <c r="S101" s="24"/>
      <c r="T101" s="24"/>
      <c r="U101" s="24"/>
      <c r="V101" s="24"/>
      <c r="W101" s="24"/>
      <c r="X101" s="24"/>
      <c r="Y101" s="24"/>
    </row>
    <row r="102" spans="1:25" ht="15.75" customHeight="1" x14ac:dyDescent="0.25">
      <c r="A102" s="25"/>
      <c r="B102" s="623"/>
      <c r="C102" s="623"/>
      <c r="D102" s="623"/>
      <c r="E102" s="623"/>
      <c r="F102" s="623"/>
      <c r="G102" s="623"/>
      <c r="H102" s="623"/>
      <c r="I102" s="623"/>
      <c r="J102" s="623"/>
      <c r="K102" s="623"/>
      <c r="L102" s="623"/>
      <c r="M102" s="623"/>
      <c r="N102" s="623"/>
      <c r="O102" s="623"/>
      <c r="P102" s="24"/>
      <c r="Q102" s="24"/>
      <c r="R102" s="24"/>
      <c r="S102" s="24"/>
      <c r="T102" s="24"/>
      <c r="U102" s="24"/>
      <c r="V102" s="24"/>
      <c r="W102" s="24"/>
      <c r="X102" s="24"/>
      <c r="Y102" s="24"/>
    </row>
    <row r="103" spans="1:25" ht="15.75" customHeight="1" x14ac:dyDescent="0.25">
      <c r="A103" s="25"/>
      <c r="B103" s="623"/>
      <c r="C103" s="623"/>
      <c r="D103" s="623"/>
      <c r="E103" s="623"/>
      <c r="F103" s="623"/>
      <c r="G103" s="623"/>
      <c r="H103" s="623"/>
      <c r="I103" s="623"/>
      <c r="J103" s="623"/>
      <c r="K103" s="623"/>
      <c r="L103" s="623"/>
      <c r="M103" s="623"/>
      <c r="N103" s="623"/>
      <c r="O103" s="623"/>
      <c r="P103" s="24"/>
      <c r="Q103" s="24"/>
      <c r="R103" s="24"/>
      <c r="S103" s="24"/>
      <c r="T103" s="24"/>
      <c r="U103" s="24"/>
      <c r="V103" s="24"/>
      <c r="W103" s="24"/>
      <c r="X103" s="24"/>
      <c r="Y103" s="24"/>
    </row>
    <row r="104" spans="1:25" ht="15.75" customHeight="1" x14ac:dyDescent="0.25">
      <c r="A104" s="25"/>
      <c r="B104" s="623"/>
      <c r="C104" s="623"/>
      <c r="D104" s="623"/>
      <c r="E104" s="623"/>
      <c r="F104" s="623"/>
      <c r="G104" s="623"/>
      <c r="H104" s="623"/>
      <c r="I104" s="623"/>
      <c r="J104" s="623"/>
      <c r="K104" s="623"/>
      <c r="L104" s="623"/>
      <c r="M104" s="623"/>
      <c r="N104" s="623"/>
      <c r="O104" s="623"/>
      <c r="P104" s="24"/>
      <c r="Q104" s="24"/>
      <c r="R104" s="24"/>
      <c r="S104" s="24"/>
      <c r="T104" s="24"/>
      <c r="U104" s="24"/>
      <c r="V104" s="24"/>
      <c r="W104" s="24"/>
      <c r="X104" s="24"/>
      <c r="Y104" s="24"/>
    </row>
    <row r="105" spans="1:25" ht="15.75" customHeight="1" x14ac:dyDescent="0.25">
      <c r="A105" s="25"/>
      <c r="B105" s="623"/>
      <c r="C105" s="623"/>
      <c r="D105" s="623"/>
      <c r="E105" s="623"/>
      <c r="F105" s="623"/>
      <c r="G105" s="623"/>
      <c r="H105" s="623"/>
      <c r="I105" s="623"/>
      <c r="J105" s="623"/>
      <c r="K105" s="623"/>
      <c r="L105" s="623"/>
      <c r="M105" s="623"/>
      <c r="N105" s="623"/>
      <c r="O105" s="623"/>
      <c r="P105" s="24"/>
      <c r="Q105" s="24"/>
      <c r="R105" s="24"/>
      <c r="S105" s="24"/>
      <c r="T105" s="24"/>
      <c r="U105" s="24"/>
      <c r="V105" s="24"/>
      <c r="W105" s="24"/>
      <c r="X105" s="24"/>
      <c r="Y105" s="24"/>
    </row>
    <row r="106" spans="1:25" ht="15.75" customHeight="1" x14ac:dyDescent="0.25">
      <c r="A106" s="25"/>
      <c r="B106" s="623"/>
      <c r="C106" s="623"/>
      <c r="D106" s="623"/>
      <c r="E106" s="623"/>
      <c r="F106" s="623"/>
      <c r="G106" s="623"/>
      <c r="H106" s="623"/>
      <c r="I106" s="623"/>
      <c r="J106" s="623"/>
      <c r="K106" s="623"/>
      <c r="L106" s="623"/>
      <c r="M106" s="623"/>
      <c r="N106" s="623"/>
      <c r="O106" s="623"/>
      <c r="P106" s="24"/>
      <c r="Q106" s="24"/>
      <c r="R106" s="24"/>
      <c r="S106" s="24"/>
      <c r="T106" s="24"/>
      <c r="U106" s="24"/>
      <c r="V106" s="24"/>
      <c r="W106" s="24"/>
      <c r="X106" s="24"/>
      <c r="Y106" s="24"/>
    </row>
  </sheetData>
  <mergeCells count="5">
    <mergeCell ref="B1:O1"/>
    <mergeCell ref="B40:E40"/>
    <mergeCell ref="B41:O87"/>
    <mergeCell ref="B88:O106"/>
    <mergeCell ref="R8:W18"/>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2.75" customWidth="1"/>
    <col min="2" max="2" width="8.125" customWidth="1"/>
    <col min="3" max="3" width="10" customWidth="1"/>
    <col min="4" max="4" width="9.875" customWidth="1"/>
    <col min="5" max="6" width="10.875" customWidth="1"/>
    <col min="7" max="7" width="12" customWidth="1"/>
    <col min="8" max="8" width="12.875" customWidth="1"/>
    <col min="9" max="9" width="10.75" customWidth="1"/>
    <col min="10" max="10" width="15.625" customWidth="1"/>
    <col min="11" max="11" width="10.625" customWidth="1"/>
    <col min="12" max="12" width="8.875" customWidth="1"/>
    <col min="13" max="13" width="9.25" customWidth="1"/>
    <col min="14" max="15" width="9.375" customWidth="1"/>
    <col min="16" max="25" width="10.75" customWidth="1"/>
  </cols>
  <sheetData>
    <row r="1" spans="1:25" ht="18" customHeight="1" x14ac:dyDescent="0.25">
      <c r="A1" s="60"/>
      <c r="B1" s="68" t="s">
        <v>63</v>
      </c>
      <c r="C1" s="79"/>
      <c r="D1" s="79"/>
      <c r="E1" s="79"/>
      <c r="F1" s="79"/>
      <c r="G1" s="79"/>
      <c r="H1" s="79"/>
      <c r="I1" s="79"/>
      <c r="J1" s="79"/>
      <c r="K1" s="79"/>
      <c r="L1" s="79"/>
      <c r="M1" s="79"/>
      <c r="N1" s="79"/>
      <c r="O1" s="79"/>
      <c r="P1" s="79"/>
      <c r="Q1" s="79"/>
      <c r="R1" s="79"/>
      <c r="S1" s="79"/>
      <c r="T1" s="79"/>
      <c r="U1" s="79"/>
      <c r="V1" s="79"/>
      <c r="W1" s="79"/>
      <c r="X1" s="79"/>
      <c r="Y1" s="79"/>
    </row>
    <row r="2" spans="1:25" ht="15.75" customHeight="1" x14ac:dyDescent="0.25">
      <c r="A2" s="77"/>
      <c r="B2" s="78">
        <v>1984</v>
      </c>
      <c r="C2" s="78">
        <v>1988</v>
      </c>
      <c r="D2" s="78">
        <v>1990</v>
      </c>
      <c r="E2" s="78">
        <v>1992</v>
      </c>
      <c r="F2" s="78">
        <v>1996</v>
      </c>
      <c r="G2" s="78">
        <v>1998</v>
      </c>
      <c r="H2" s="78">
        <v>2000</v>
      </c>
      <c r="I2" s="78">
        <v>2004</v>
      </c>
      <c r="J2" s="78">
        <v>2008</v>
      </c>
      <c r="K2" s="78">
        <v>2010</v>
      </c>
      <c r="L2" s="78">
        <v>2011</v>
      </c>
      <c r="M2" s="78">
        <v>2012</v>
      </c>
      <c r="N2" s="78">
        <v>2013</v>
      </c>
      <c r="O2" s="78">
        <v>2014</v>
      </c>
      <c r="P2" s="4"/>
      <c r="Q2" s="4"/>
      <c r="R2" s="4"/>
      <c r="S2" s="4"/>
      <c r="T2" s="4"/>
      <c r="U2" s="4"/>
      <c r="V2" s="4"/>
      <c r="W2" s="4"/>
      <c r="X2" s="4"/>
      <c r="Y2" s="4"/>
    </row>
    <row r="3" spans="1:25" ht="15.75" customHeight="1" x14ac:dyDescent="0.25">
      <c r="A3" s="5" t="s">
        <v>266</v>
      </c>
      <c r="B3" s="81"/>
      <c r="C3" s="81"/>
      <c r="D3" s="81"/>
      <c r="E3" s="32"/>
      <c r="F3" s="81"/>
      <c r="G3" s="32"/>
      <c r="H3" s="162"/>
      <c r="I3" s="32"/>
      <c r="J3" s="165">
        <f>('Pay &amp; Specialty (RV)'!J3)/('Pay &amp; Specialty (RV)'!J33)*100</f>
        <v>1.7638182537107563</v>
      </c>
      <c r="K3" s="165">
        <f>('Pay &amp; Specialty (RV)'!K3)/('Pay &amp; Specialty (RV)'!K33)*100</f>
        <v>1.703783435310912</v>
      </c>
      <c r="L3" s="165">
        <f>('Pay &amp; Specialty (RV)'!L3)/('Pay &amp; Specialty (RV)'!L33)*100</f>
        <v>26.261361780874111</v>
      </c>
      <c r="M3" s="165">
        <f>('Pay &amp; Specialty (RV)'!M3)/('Pay &amp; Specialty (RV)'!M33)*100</f>
        <v>26.572826254345522</v>
      </c>
      <c r="N3" s="165">
        <f>('Pay &amp; Specialty (RV)'!N3)/('Pay &amp; Specialty (RV)'!N33)*100</f>
        <v>33.522415334757277</v>
      </c>
      <c r="O3" s="165">
        <f>('Pay &amp; Specialty (RV)'!O3)/('Pay &amp; Specialty (RV)'!O33)*100</f>
        <v>41.177307655820137</v>
      </c>
      <c r="P3" s="24"/>
      <c r="Q3" s="24"/>
      <c r="R3" s="24"/>
      <c r="S3" s="24"/>
      <c r="T3" s="24"/>
      <c r="U3" s="24"/>
      <c r="V3" s="24"/>
      <c r="W3" s="24"/>
      <c r="X3" s="24"/>
      <c r="Y3" s="24"/>
    </row>
    <row r="4" spans="1:25" ht="15.75" customHeight="1" x14ac:dyDescent="0.25">
      <c r="A4" s="5" t="s">
        <v>292</v>
      </c>
      <c r="B4" s="32"/>
      <c r="C4" s="165">
        <f>('Pay &amp; Specialty (RV)'!C4)/('Pay &amp; Specialty (RV)'!C33)*100</f>
        <v>14.115168539325843</v>
      </c>
      <c r="D4" s="165">
        <f>('Pay &amp; Specialty (RV)'!D4)/('Pay &amp; Specialty (RV)'!D33)*100</f>
        <v>24.371540250297272</v>
      </c>
      <c r="E4" s="165">
        <f>('Pay &amp; Specialty (RV)'!E4)/('Pay &amp; Specialty (RV)'!E33)*100</f>
        <v>22.495850034414349</v>
      </c>
      <c r="F4" s="165">
        <f>('Pay &amp; Specialty (RV)'!F4)/('Pay &amp; Specialty (RV)'!F33)*100</f>
        <v>16.569347459667707</v>
      </c>
      <c r="G4" s="165">
        <f>('Pay &amp; Specialty (RV)'!G4)/('Pay &amp; Specialty (RV)'!G33)*100</f>
        <v>15.592305737445999</v>
      </c>
      <c r="H4" s="165">
        <f>('Pay &amp; Specialty (RV)'!H4)/('Pay &amp; Specialty (RV)'!H33)*100</f>
        <v>16.348782421083868</v>
      </c>
      <c r="I4" s="165">
        <f>('Pay &amp; Specialty (RV)'!I4)/('Pay &amp; Specialty (RV)'!I33)*100</f>
        <v>17.954668819160943</v>
      </c>
      <c r="J4" s="165">
        <f>('Pay &amp; Specialty (RV)'!J4)/('Pay &amp; Specialty (RV)'!J33)*100</f>
        <v>16.747744308445071</v>
      </c>
      <c r="K4" s="165">
        <f>('Pay &amp; Specialty (RV)'!K4)/('Pay &amp; Specialty (RV)'!K33)*100</f>
        <v>15.072151774870344</v>
      </c>
      <c r="L4" s="165">
        <f>('Pay &amp; Specialty (RV)'!L4)/('Pay &amp; Specialty (RV)'!L33)*100</f>
        <v>14.778185807605576</v>
      </c>
      <c r="M4" s="165">
        <f>('Pay &amp; Specialty (RV)'!M4)/('Pay &amp; Specialty (RV)'!M33)*100</f>
        <v>14.154699065200083</v>
      </c>
      <c r="N4" s="32" t="s">
        <v>1</v>
      </c>
      <c r="O4" s="32"/>
      <c r="P4" s="24"/>
      <c r="Q4" s="24"/>
      <c r="R4" s="24"/>
      <c r="S4" s="24"/>
      <c r="T4" s="24"/>
      <c r="U4" s="24"/>
      <c r="V4" s="24"/>
      <c r="W4" s="24"/>
      <c r="X4" s="24"/>
      <c r="Y4" s="24"/>
    </row>
    <row r="5" spans="1:25" ht="15.75" customHeight="1" x14ac:dyDescent="0.25">
      <c r="A5" s="5" t="s">
        <v>311</v>
      </c>
      <c r="B5" s="81"/>
      <c r="C5" s="81"/>
      <c r="D5" s="81"/>
      <c r="E5" s="32"/>
      <c r="F5" s="81"/>
      <c r="G5" s="32"/>
      <c r="H5" s="32"/>
      <c r="I5" s="32"/>
      <c r="J5" s="165">
        <f>('Pay &amp; Specialty (RV)'!J5)/('Pay &amp; Specialty (RV)'!J33)*100</f>
        <v>23.052456364262245</v>
      </c>
      <c r="K5" s="165">
        <f>('Pay &amp; Specialty (RV)'!K5)/('Pay &amp; Specialty (RV)'!K33)*100</f>
        <v>21.821091227242118</v>
      </c>
      <c r="L5" s="32" t="s">
        <v>1</v>
      </c>
      <c r="M5" s="32"/>
      <c r="N5" s="32"/>
      <c r="O5" s="32"/>
      <c r="P5" s="24"/>
      <c r="Q5" s="24"/>
      <c r="R5" s="24"/>
      <c r="S5" s="24"/>
      <c r="T5" s="24"/>
      <c r="U5" s="24"/>
      <c r="V5" s="24"/>
      <c r="W5" s="24"/>
      <c r="X5" s="24"/>
      <c r="Y5" s="24"/>
    </row>
    <row r="6" spans="1:25" ht="15.75" customHeight="1" x14ac:dyDescent="0.25">
      <c r="A6" s="5" t="s">
        <v>218</v>
      </c>
      <c r="B6" s="81"/>
      <c r="C6" s="81"/>
      <c r="D6" s="32"/>
      <c r="E6" s="81"/>
      <c r="F6" s="81"/>
      <c r="G6" s="32"/>
      <c r="H6" s="165">
        <f>('Pay &amp; Specialty (RV)'!H6)/('Pay &amp; Specialty (RV)'!H33)*100</f>
        <v>0.96817536725725373</v>
      </c>
      <c r="I6" s="165">
        <f>('Pay &amp; Specialty (RV)'!I6)/('Pay &amp; Specialty (RV)'!I33)*100</f>
        <v>14.424746065879301</v>
      </c>
      <c r="J6" s="32" t="s">
        <v>222</v>
      </c>
      <c r="K6" s="32"/>
      <c r="L6" s="32"/>
      <c r="M6" s="32"/>
      <c r="N6" s="32"/>
      <c r="O6" s="32"/>
      <c r="P6" s="24"/>
      <c r="Q6" s="24"/>
      <c r="R6" s="24"/>
      <c r="S6" s="24"/>
      <c r="T6" s="24"/>
      <c r="U6" s="24"/>
      <c r="V6" s="24"/>
      <c r="W6" s="24"/>
      <c r="X6" s="24"/>
      <c r="Y6" s="24"/>
    </row>
    <row r="7" spans="1:25" ht="15.75" customHeight="1" x14ac:dyDescent="0.25">
      <c r="A7" s="5" t="s">
        <v>223</v>
      </c>
      <c r="B7" s="81"/>
      <c r="C7" s="165">
        <f>('Pay &amp; Specialty (RV)'!C7)/('Pay &amp; Specialty (RV)'!C33)*100</f>
        <v>3.5112359550561791</v>
      </c>
      <c r="D7" s="165">
        <f>('Pay &amp; Specialty (RV)'!D7)/('Pay &amp; Specialty (RV)'!D33)*100</f>
        <v>3.72558577074608</v>
      </c>
      <c r="E7" s="165">
        <f>('Pay &amp; Specialty (RV)'!E7)/('Pay &amp; Specialty (RV)'!E33)*100</f>
        <v>4.0234422446252882</v>
      </c>
      <c r="F7" s="165">
        <f>('Pay &amp; Specialty (RV)'!F7)/('Pay &amp; Specialty (RV)'!F33)*100</f>
        <v>6.4561762581266544</v>
      </c>
      <c r="G7" s="165">
        <f>('Pay &amp; Specialty (RV)'!G7)/('Pay &amp; Specialty (RV)'!G33)*100</f>
        <v>7.3627033946812777</v>
      </c>
      <c r="H7" s="165">
        <f>('Pay &amp; Specialty (RV)'!H7)/('Pay &amp; Specialty (RV)'!H33)*100</f>
        <v>7.7454029380580298</v>
      </c>
      <c r="I7" s="165">
        <f>('Pay &amp; Specialty (RV)'!I7)/('Pay &amp; Specialty (RV)'!I33)*100</f>
        <v>8.9531236911080327</v>
      </c>
      <c r="J7" s="32" t="s">
        <v>225</v>
      </c>
      <c r="K7" s="32"/>
      <c r="L7" s="32"/>
      <c r="M7" s="32"/>
      <c r="N7" s="32"/>
      <c r="O7" s="32"/>
      <c r="P7" s="24"/>
      <c r="Q7" s="626" t="s">
        <v>8</v>
      </c>
      <c r="R7" s="623"/>
      <c r="S7" s="623"/>
      <c r="T7" s="623"/>
      <c r="U7" s="623"/>
      <c r="V7" s="24"/>
      <c r="W7" s="24"/>
      <c r="X7" s="24"/>
      <c r="Y7" s="24"/>
    </row>
    <row r="8" spans="1:25" ht="15.75" customHeight="1" x14ac:dyDescent="0.25">
      <c r="A8" s="5" t="s">
        <v>477</v>
      </c>
      <c r="B8" s="81"/>
      <c r="C8" s="81"/>
      <c r="D8" s="81"/>
      <c r="E8" s="32"/>
      <c r="F8" s="81"/>
      <c r="G8" s="165">
        <f>('Pay &amp; Specialty (RV)'!G8)/('Pay &amp; Specialty (RV)'!G33)*100</f>
        <v>9.5240131008619109</v>
      </c>
      <c r="H8" s="165">
        <f>('Pay &amp; Specialty (RV)'!H8)/('Pay &amp; Specialty (RV)'!H33)*100</f>
        <v>9.2881864501102385</v>
      </c>
      <c r="I8" s="32" t="s">
        <v>231</v>
      </c>
      <c r="J8" s="32"/>
      <c r="K8" s="32"/>
      <c r="L8" s="32"/>
      <c r="M8" s="32"/>
      <c r="N8" s="32"/>
      <c r="O8" s="32"/>
      <c r="P8" s="24"/>
      <c r="Q8" s="623"/>
      <c r="R8" s="623"/>
      <c r="S8" s="623"/>
      <c r="T8" s="623"/>
      <c r="U8" s="623"/>
      <c r="V8" s="24"/>
      <c r="W8" s="24"/>
      <c r="X8" s="24"/>
      <c r="Y8" s="24"/>
    </row>
    <row r="9" spans="1:25" ht="15.75" customHeight="1" x14ac:dyDescent="0.25">
      <c r="A9" s="5" t="s">
        <v>483</v>
      </c>
      <c r="B9" s="81"/>
      <c r="C9" s="165">
        <f>('Pay &amp; Specialty (RV)'!C9)/('Pay &amp; Specialty (RV)'!C33)*100</f>
        <v>21.839887640449437</v>
      </c>
      <c r="D9" s="165">
        <f>('Pay &amp; Specialty (RV)'!D9)/('Pay &amp; Specialty (RV)'!D33)*100</f>
        <v>24.185260961759969</v>
      </c>
      <c r="E9" s="165">
        <f>('Pay &amp; Specialty (RV)'!E9)/('Pay &amp; Specialty (RV)'!E33)*100</f>
        <v>24.064739463136156</v>
      </c>
      <c r="F9" s="165">
        <f>('Pay &amp; Specialty (RV)'!F9)/('Pay &amp; Specialty (RV)'!F33)*100</f>
        <v>30.640500842764268</v>
      </c>
      <c r="G9" s="165">
        <f>('Pay &amp; Specialty (RV)'!G9)/('Pay &amp; Specialty (RV)'!G33)*100</f>
        <v>28.132652164516049</v>
      </c>
      <c r="H9" s="32" t="s">
        <v>188</v>
      </c>
      <c r="I9" s="32"/>
      <c r="J9" s="32"/>
      <c r="K9" s="32"/>
      <c r="L9" s="32"/>
      <c r="M9" s="32"/>
      <c r="N9" s="32"/>
      <c r="O9" s="32"/>
      <c r="P9" s="24"/>
      <c r="Q9" s="623"/>
      <c r="R9" s="623"/>
      <c r="S9" s="623"/>
      <c r="T9" s="623"/>
      <c r="U9" s="623"/>
      <c r="V9" s="24"/>
      <c r="W9" s="24"/>
      <c r="X9" s="24"/>
      <c r="Y9" s="24"/>
    </row>
    <row r="10" spans="1:25" ht="15.75" customHeight="1" x14ac:dyDescent="0.25">
      <c r="A10" s="5" t="s">
        <v>233</v>
      </c>
      <c r="B10" s="81"/>
      <c r="C10" s="81"/>
      <c r="D10" s="81"/>
      <c r="E10" s="32"/>
      <c r="F10" s="165">
        <f>('Pay &amp; Specialty (RV)'!F10)/('Pay &amp; Specialty (RV)'!F33)*100</f>
        <v>3.702143029135565</v>
      </c>
      <c r="G10" s="165">
        <f>('Pay &amp; Specialty (RV)'!G10)/('Pay &amp; Specialty (RV)'!G33)*100</f>
        <v>9.4290104764144118</v>
      </c>
      <c r="H10" s="165">
        <f>('Pay &amp; Specialty (RV)'!H10)/('Pay &amp; Specialty (RV)'!H33)*100</f>
        <v>11.256022562421728</v>
      </c>
      <c r="I10" s="165">
        <f>('Pay &amp; Specialty (RV)'!I10)/('Pay &amp; Specialty (RV)'!I33)*100</f>
        <v>15.911284180087074</v>
      </c>
      <c r="J10" s="165">
        <f>('Pay &amp; Specialty (RV)'!J10)/('Pay &amp; Specialty (RV)'!J33)*100</f>
        <v>15.279662424973756</v>
      </c>
      <c r="K10" s="165">
        <f>('Pay &amp; Specialty (RV)'!K10)/('Pay &amp; Specialty (RV)'!K33)*100</f>
        <v>27.420925165917424</v>
      </c>
      <c r="L10" s="165">
        <f>('Pay &amp; Specialty (RV)'!L10)/('Pay &amp; Specialty (RV)'!L33)*100</f>
        <v>27.747319702931517</v>
      </c>
      <c r="M10" s="165">
        <f>('Pay &amp; Specialty (RV)'!M10)/('Pay &amp; Specialty (RV)'!M33)*100</f>
        <v>26.282295763142688</v>
      </c>
      <c r="N10" s="165">
        <f>('Pay &amp; Specialty (RV)'!N10)/('Pay &amp; Specialty (RV)'!N33)*100</f>
        <v>26.037711128395692</v>
      </c>
      <c r="O10" s="165">
        <f>('Pay &amp; Specialty (RV)'!O10)/('Pay &amp; Specialty (RV)'!O33)*100</f>
        <v>26.510767479366287</v>
      </c>
      <c r="P10" s="24"/>
      <c r="Q10" s="623"/>
      <c r="R10" s="623"/>
      <c r="S10" s="623"/>
      <c r="T10" s="623"/>
      <c r="U10" s="623"/>
      <c r="V10" s="24"/>
      <c r="W10" s="24"/>
      <c r="X10" s="24"/>
      <c r="Y10" s="24"/>
    </row>
    <row r="11" spans="1:25" ht="15.75" customHeight="1" x14ac:dyDescent="0.25">
      <c r="A11" s="297" t="s">
        <v>238</v>
      </c>
      <c r="B11" s="298"/>
      <c r="C11" s="298"/>
      <c r="D11" s="298"/>
      <c r="E11" s="298"/>
      <c r="F11" s="298"/>
      <c r="G11" s="298"/>
      <c r="H11" s="298"/>
      <c r="I11" s="299">
        <f>('Pay &amp; Specialty (RV)'!I11)/('Pay &amp; Specialty (RV)'!I33)*100</f>
        <v>0.80863799697947081</v>
      </c>
      <c r="J11" s="299">
        <f>('Pay &amp; Specialty (RV)'!J11)/('Pay &amp; Specialty (RV)'!J33)*100</f>
        <v>2.1152172481637694</v>
      </c>
      <c r="K11" s="299">
        <f>('Pay &amp; Specialty (RV)'!K11)/('Pay &amp; Specialty (RV)'!K33)*100</f>
        <v>13.892166625415154</v>
      </c>
      <c r="L11" s="299">
        <f>('Pay &amp; Specialty (RV)'!L11)/('Pay &amp; Specialty (RV)'!L33)*100</f>
        <v>14.407330449732825</v>
      </c>
      <c r="M11" s="299">
        <f>('Pay &amp; Specialty (RV)'!M11)/('Pay &amp; Specialty (RV)'!M33)*100</f>
        <v>13.796798910773727</v>
      </c>
      <c r="N11" s="299">
        <f>('Pay &amp; Specialty (RV)'!N11)/('Pay &amp; Specialty (RV)'!N33)*100</f>
        <v>13.297501780740816</v>
      </c>
      <c r="O11" s="299">
        <f>('Pay &amp; Specialty (RV)'!O12)/('Pay &amp; Specialty (RV)'!O33)*100</f>
        <v>12.686177781994118</v>
      </c>
      <c r="P11" s="161"/>
      <c r="Q11" s="623"/>
      <c r="R11" s="623"/>
      <c r="S11" s="623"/>
      <c r="T11" s="623"/>
      <c r="U11" s="623"/>
      <c r="V11" s="161"/>
      <c r="W11" s="161"/>
      <c r="X11" s="161"/>
      <c r="Y11" s="161"/>
    </row>
    <row r="12" spans="1:25" ht="15.75" customHeight="1" x14ac:dyDescent="0.25">
      <c r="A12" s="297" t="s">
        <v>270</v>
      </c>
      <c r="B12" s="298"/>
      <c r="C12" s="298"/>
      <c r="D12" s="298"/>
      <c r="E12" s="298"/>
      <c r="F12" s="299">
        <f>('Pay &amp; Specialty (RV)'!F12)/('Pay &amp; Specialty (RV)'!F33)*100</f>
        <v>3.702143029135565</v>
      </c>
      <c r="G12" s="299">
        <f>('Pay &amp; Specialty (RV)'!G12)/('Pay &amp; Specialty (RV)'!G33)*100</f>
        <v>9.4290104764144118</v>
      </c>
      <c r="H12" s="299">
        <f>('Pay &amp; Specialty (RV)'!H12)/('Pay &amp; Specialty (RV)'!H33)*100</f>
        <v>11.256022562421728</v>
      </c>
      <c r="I12" s="299">
        <f>('Pay &amp; Specialty (RV)'!I12)/('Pay &amp; Specialty (RV)'!I33)*100</f>
        <v>15.102646183107602</v>
      </c>
      <c r="J12" s="299">
        <f>('Pay &amp; Specialty (RV)'!J12)/('Pay &amp; Specialty (RV)'!J33)*100</f>
        <v>13.164445176809986</v>
      </c>
      <c r="K12" s="299">
        <f>('Pay &amp; Specialty (RV)'!K12)/('Pay &amp; Specialty (RV)'!K33)*100</f>
        <v>13.52875854050227</v>
      </c>
      <c r="L12" s="299">
        <f>('Pay &amp; Specialty (RV)'!L12)/('Pay &amp; Specialty (RV)'!L33)*100</f>
        <v>13.339989253198695</v>
      </c>
      <c r="M12" s="299">
        <f>('Pay &amp; Specialty (RV)'!M12)/('Pay &amp; Specialty (RV)'!M33)*100</f>
        <v>12.485496852368959</v>
      </c>
      <c r="N12" s="299">
        <f>('Pay &amp; Specialty (RV)'!N12)/('Pay &amp; Specialty (RV)'!N33)*100</f>
        <v>12.74020934765487</v>
      </c>
      <c r="O12" s="299">
        <f>('Pay &amp; Specialty (RV)'!O12)/('Pay &amp; Specialty (RV)'!O33)*100</f>
        <v>12.686177781994118</v>
      </c>
      <c r="P12" s="161"/>
      <c r="Q12" s="623"/>
      <c r="R12" s="623"/>
      <c r="S12" s="623"/>
      <c r="T12" s="623"/>
      <c r="U12" s="623"/>
      <c r="V12" s="161"/>
      <c r="W12" s="161"/>
      <c r="X12" s="161"/>
      <c r="Y12" s="161"/>
    </row>
    <row r="13" spans="1:25" ht="15.75" customHeight="1" x14ac:dyDescent="0.25">
      <c r="A13" s="5" t="s">
        <v>276</v>
      </c>
      <c r="B13" s="81"/>
      <c r="C13" s="81"/>
      <c r="D13" s="81"/>
      <c r="E13" s="32"/>
      <c r="F13" s="32"/>
      <c r="G13" s="165">
        <f>('Pay &amp; Specialty (RV)'!G13)/('Pay &amp; Specialty (RV)'!G33)*100</f>
        <v>0.40376115390187656</v>
      </c>
      <c r="H13" s="165">
        <f>('Pay &amp; Specialty (RV)'!H13)/('Pay &amp; Specialty (RV)'!H33)*100</f>
        <v>1.3617425897195519</v>
      </c>
      <c r="I13" s="165">
        <f>('Pay &amp; Specialty (RV)'!I13)/('Pay &amp; Specialty (RV)'!I33)*100</f>
        <v>1.9707524836565546</v>
      </c>
      <c r="J13" s="165">
        <f>('Pay &amp; Specialty (RV)'!J13)/('Pay &amp; Specialty (RV)'!J33)*100</f>
        <v>16.263291325801113</v>
      </c>
      <c r="K13" s="32" t="s">
        <v>16</v>
      </c>
      <c r="L13" s="32"/>
      <c r="M13" s="32"/>
      <c r="N13" s="32"/>
      <c r="O13" s="32"/>
      <c r="P13" s="24"/>
      <c r="Q13" s="623"/>
      <c r="R13" s="623"/>
      <c r="S13" s="623"/>
      <c r="T13" s="623"/>
      <c r="U13" s="623"/>
      <c r="V13" s="24"/>
      <c r="W13" s="24"/>
      <c r="X13" s="24"/>
      <c r="Y13" s="24"/>
    </row>
    <row r="14" spans="1:25" ht="15.75" customHeight="1" x14ac:dyDescent="0.25">
      <c r="A14" s="5" t="s">
        <v>278</v>
      </c>
      <c r="B14" s="81"/>
      <c r="C14" s="81"/>
      <c r="D14" s="81"/>
      <c r="E14" s="81"/>
      <c r="F14" s="165">
        <f>('Pay &amp; Specialty (RV)'!F14)/('Pay &amp; Specialty (RV)'!F33)*100</f>
        <v>2.7088851432699252</v>
      </c>
      <c r="G14" s="165">
        <f>('Pay &amp; Specialty (RV)'!G14)/('Pay &amp; Specialty (RV)'!G33)*100</f>
        <v>9.1677532591837849</v>
      </c>
      <c r="H14" s="165">
        <f>('Pay &amp; Specialty (RV)'!H14)/('Pay &amp; Specialty (RV)'!H33)*100</f>
        <v>7.973671927086162</v>
      </c>
      <c r="I14" s="165">
        <f>('Pay &amp; Specialty (RV)'!I14)/('Pay &amp; Specialty (RV)'!I33)*100</f>
        <v>11.577565573520445</v>
      </c>
      <c r="J14" s="32" t="s">
        <v>279</v>
      </c>
      <c r="K14" s="32"/>
      <c r="L14" s="32"/>
      <c r="M14" s="32"/>
      <c r="N14" s="32"/>
      <c r="O14" s="32"/>
      <c r="P14" s="24"/>
      <c r="Q14" s="623"/>
      <c r="R14" s="623"/>
      <c r="S14" s="623"/>
      <c r="T14" s="623"/>
      <c r="U14" s="623"/>
      <c r="V14" s="24"/>
      <c r="W14" s="24"/>
      <c r="X14" s="24"/>
      <c r="Y14" s="24"/>
    </row>
    <row r="15" spans="1:25" ht="15.75" customHeight="1" x14ac:dyDescent="0.25">
      <c r="A15" s="5" t="s">
        <v>280</v>
      </c>
      <c r="B15" s="81"/>
      <c r="C15" s="81"/>
      <c r="D15" s="165">
        <f>('Pay &amp; Specialty (RV)'!D15)/('Pay &amp; Specialty (RV)'!D33)*100</f>
        <v>2.1422118181789958</v>
      </c>
      <c r="E15" s="165">
        <f>('Pay &amp; Specialty (RV)'!E15)/('Pay &amp; Specialty (RV)'!E33)*100</f>
        <v>7.4142677841208151</v>
      </c>
      <c r="F15" s="165">
        <f>('Pay &amp; Specialty (RV)'!F15)/('Pay &amp; Specialty (RV)'!F33)*100</f>
        <v>4.7856970864435349</v>
      </c>
      <c r="G15" s="165">
        <f>('Pay &amp; Specialty (RV)'!G15)/('Pay &amp; Specialty (RV)'!G33)*100</f>
        <v>6.4483031343740862</v>
      </c>
      <c r="H15" s="32" t="s">
        <v>281</v>
      </c>
      <c r="I15" s="32"/>
      <c r="J15" s="32"/>
      <c r="K15" s="32"/>
      <c r="L15" s="32"/>
      <c r="M15" s="32"/>
      <c r="N15" s="32"/>
      <c r="O15" s="32"/>
      <c r="P15" s="24"/>
      <c r="Q15" s="623"/>
      <c r="R15" s="623"/>
      <c r="S15" s="623"/>
      <c r="T15" s="623"/>
      <c r="U15" s="623"/>
      <c r="V15" s="24"/>
      <c r="W15" s="24"/>
      <c r="X15" s="24"/>
      <c r="Y15" s="24"/>
    </row>
    <row r="16" spans="1:25" ht="15.75" customHeight="1" x14ac:dyDescent="0.25">
      <c r="A16" s="5" t="s">
        <v>282</v>
      </c>
      <c r="B16" s="81"/>
      <c r="C16" s="81"/>
      <c r="D16" s="165">
        <f>('Pay &amp; Specialty (RV)'!D16)/('Pay &amp; Specialty (RV)'!D33)*100</f>
        <v>2.3284911067162999</v>
      </c>
      <c r="E16" s="165">
        <f>('Pay &amp; Specialty (RV)'!E16)/('Pay &amp; Specialty (RV)'!E33)*100</f>
        <v>2.2521154702619537</v>
      </c>
      <c r="F16" s="165">
        <f>('Pay &amp; Specialty (RV)'!F16)/('Pay &amp; Specialty (RV)'!F33)*100</f>
        <v>5.2221285817481338</v>
      </c>
      <c r="G16" s="32" t="s">
        <v>283</v>
      </c>
      <c r="H16" s="32"/>
      <c r="I16" s="32"/>
      <c r="J16" s="32"/>
      <c r="K16" s="32"/>
      <c r="L16" s="32"/>
      <c r="M16" s="32"/>
      <c r="N16" s="32"/>
      <c r="O16" s="32"/>
      <c r="P16" s="24"/>
      <c r="Q16" s="24"/>
      <c r="R16" s="24"/>
      <c r="S16" s="24"/>
      <c r="T16" s="24"/>
      <c r="U16" s="24"/>
      <c r="V16" s="24"/>
      <c r="W16" s="24"/>
      <c r="X16" s="24"/>
      <c r="Y16" s="24"/>
    </row>
    <row r="17" spans="1:25" ht="15.75" customHeight="1" x14ac:dyDescent="0.25">
      <c r="A17" s="5" t="s">
        <v>284</v>
      </c>
      <c r="B17" s="81"/>
      <c r="C17" s="165">
        <f>('Pay &amp; Specialty (RV)'!C17)/('Pay &amp; Specialty (RV)'!C33)*100</f>
        <v>13.132022471910112</v>
      </c>
      <c r="D17" s="165">
        <f>('Pay &amp; Specialty (RV)'!D17)/('Pay &amp; Specialty (RV)'!D33)*100</f>
        <v>5.9298906851041782</v>
      </c>
      <c r="E17" s="32" t="s">
        <v>285</v>
      </c>
      <c r="F17" s="81"/>
      <c r="G17" s="32"/>
      <c r="H17" s="32"/>
      <c r="I17" s="32"/>
      <c r="J17" s="32"/>
      <c r="K17" s="32"/>
      <c r="L17" s="32"/>
      <c r="M17" s="32"/>
      <c r="N17" s="32"/>
      <c r="O17" s="32"/>
      <c r="P17" s="24"/>
      <c r="Q17" s="24"/>
      <c r="R17" s="24"/>
      <c r="S17" s="24"/>
      <c r="T17" s="24"/>
      <c r="U17" s="24"/>
      <c r="V17" s="24"/>
      <c r="W17" s="24"/>
      <c r="X17" s="24"/>
      <c r="Y17" s="24"/>
    </row>
    <row r="18" spans="1:25" ht="15.75" customHeight="1" x14ac:dyDescent="0.25">
      <c r="A18" s="5" t="s">
        <v>286</v>
      </c>
      <c r="B18" s="81"/>
      <c r="C18" s="165">
        <f>('Pay &amp; Specialty (RV)'!C18)/('Pay &amp; Specialty (RV)'!C33)*100</f>
        <v>30.407303370786515</v>
      </c>
      <c r="D18" s="165">
        <f>('Pay &amp; Specialty (RV)'!D18)/('Pay &amp; Specialty (RV)'!D33)*100</f>
        <v>14.157225928835102</v>
      </c>
      <c r="E18" s="165">
        <f>('Pay &amp; Specialty (RV)'!E18)/('Pay &amp; Specialty (RV)'!E33)*100</f>
        <v>12.120936070286245</v>
      </c>
      <c r="F18" s="165">
        <f>('Pay &amp; Specialty (RV)'!F18)/('Pay &amp; Specialty (RV)'!F33)*100</f>
        <v>2.979773657596918</v>
      </c>
      <c r="G18" s="165">
        <f>('Pay &amp; Specialty (RV)'!G18)/('Pay &amp; Specialty (RV)'!G33)*100</f>
        <v>3.0875852945437621</v>
      </c>
      <c r="H18" s="165">
        <f>('Pay &amp; Specialty (RV)'!H18)/('Pay &amp; Specialty (RV)'!H33)*100</f>
        <v>5.8956369924852279</v>
      </c>
      <c r="I18" s="165">
        <f>('Pay &amp; Specialty (RV)'!I18)/('Pay &amp; Specialty (RV)'!I33)*100</f>
        <v>5.3215159202421463</v>
      </c>
      <c r="J18" s="165">
        <f>('Pay &amp; Specialty (RV)'!J18)/('Pay &amp; Specialty (RV)'!J33)*100</f>
        <v>9.491184490954204</v>
      </c>
      <c r="K18" s="165">
        <f>('Pay &amp; Specialty (RV)'!K18)/('Pay &amp; Specialty (RV)'!K33)*100</f>
        <v>10.337821114251343</v>
      </c>
      <c r="L18" s="165">
        <f>('Pay &amp; Specialty (RV)'!L18)/('Pay &amp; Specialty (RV)'!L33)*100</f>
        <v>11.227045654162172</v>
      </c>
      <c r="M18" s="165">
        <f>('Pay &amp; Specialty (RV)'!M18)/('Pay &amp; Specialty (RV)'!M33)*100</f>
        <v>11.409957740057118</v>
      </c>
      <c r="N18" s="165">
        <f>('Pay &amp; Specialty (RV)'!N18)/('Pay &amp; Specialty (RV)'!N33)*100</f>
        <v>11.488650435566514</v>
      </c>
      <c r="O18" s="165">
        <f>('Pay &amp; Specialty (RV)'!O18)/('Pay &amp; Specialty (RV)'!O33)*100</f>
        <v>12.247414856275496</v>
      </c>
      <c r="P18" s="42"/>
      <c r="Q18" s="42"/>
      <c r="R18" s="42"/>
      <c r="S18" s="42"/>
      <c r="T18" s="42"/>
      <c r="U18" s="42"/>
      <c r="V18" s="42"/>
      <c r="W18" s="42"/>
      <c r="X18" s="42"/>
      <c r="Y18" s="42"/>
    </row>
    <row r="19" spans="1:25" ht="15.75" customHeight="1" x14ac:dyDescent="0.25">
      <c r="A19" s="5" t="s">
        <v>287</v>
      </c>
      <c r="B19" s="81"/>
      <c r="C19" s="81"/>
      <c r="D19" s="165">
        <f>('Pay &amp; Specialty (RV)'!D19)/('Pay &amp; Specialty (RV)'!D33)*100</f>
        <v>7.6374508300294641</v>
      </c>
      <c r="E19" s="165">
        <f>('Pay &amp; Specialty (RV)'!E19)/('Pay &amp; Specialty (RV)'!E33)*100</f>
        <v>7.4901817887363862</v>
      </c>
      <c r="F19" s="165">
        <f>('Pay &amp; Specialty (RV)'!F19)/('Pay &amp; Specialty (RV)'!F33)*100</f>
        <v>8.5179388393932101</v>
      </c>
      <c r="G19" s="165">
        <f>('Pay &amp; Specialty (RV)'!G19)/('Pay &amp; Specialty (RV)'!G33)*100</f>
        <v>10.379036720889415</v>
      </c>
      <c r="H19" s="165">
        <f>('Pay &amp; Specialty (RV)'!H19)/('Pay &amp; Specialty (RV)'!H33)*100</f>
        <v>7.6352041157685857</v>
      </c>
      <c r="I19" s="165">
        <f>('Pay &amp; Specialty (RV)'!I19)/('Pay &amp; Specialty (RV)'!I33)*100</f>
        <v>5.9558367442200542</v>
      </c>
      <c r="J19" s="165">
        <f>('Pay &amp; Specialty (RV)'!J19)/('Pay &amp; Specialty (RV)'!J33)*100</f>
        <v>4.8957044372822729</v>
      </c>
      <c r="K19" s="165">
        <f>('Pay &amp; Specialty (RV)'!K19)/('Pay &amp; Specialty (RV)'!K33)*100</f>
        <v>4.7976469369312325</v>
      </c>
      <c r="L19" s="165">
        <f>('Pay &amp; Specialty (RV)'!L19)/('Pay &amp; Specialty (RV)'!L33)*100</f>
        <v>4.255498530985899</v>
      </c>
      <c r="M19" s="165">
        <f>('Pay &amp; Specialty (RV)'!M19)/('Pay &amp; Specialty (RV)'!M33)*100</f>
        <v>4.2292708389255234</v>
      </c>
      <c r="N19" s="165">
        <f>('Pay &amp; Specialty (RV)'!N19)/('Pay &amp; Specialty (RV)'!N33)*100</f>
        <v>3.9330294788992601</v>
      </c>
      <c r="O19" s="165">
        <f>('Pay &amp; Specialty (RV)'!O19)/('Pay &amp; Specialty (RV)'!O33)*100</f>
        <v>4.1006545868513422</v>
      </c>
      <c r="P19" s="24"/>
      <c r="Q19" s="24"/>
      <c r="R19" s="24"/>
      <c r="S19" s="24"/>
      <c r="T19" s="24"/>
      <c r="U19" s="24"/>
      <c r="V19" s="24"/>
      <c r="W19" s="24"/>
      <c r="X19" s="24"/>
      <c r="Y19" s="24"/>
    </row>
    <row r="20" spans="1:25" ht="15.75" customHeight="1" x14ac:dyDescent="0.25">
      <c r="A20" s="5" t="s">
        <v>288</v>
      </c>
      <c r="B20" s="81"/>
      <c r="C20" s="81"/>
      <c r="D20" s="81"/>
      <c r="E20" s="81"/>
      <c r="F20" s="81"/>
      <c r="G20" s="165">
        <f>('Pay &amp; Specialty (RV)'!G20)/('Pay &amp; Specialty (RV)'!G33)*100</f>
        <v>0.73627033946812781</v>
      </c>
      <c r="H20" s="165">
        <f>('Pay &amp; Specialty (RV)'!H20)/('Pay &amp; Specialty (RV)'!H33)*100</f>
        <v>0.70054965598289087</v>
      </c>
      <c r="I20" s="165">
        <f>('Pay &amp; Specialty (RV)'!I20)/('Pay &amp; Specialty (RV)'!I33)*100</f>
        <v>1.288010222733768</v>
      </c>
      <c r="J20" s="165">
        <f>('Pay &amp; Specialty (RV)'!J20)/('Pay &amp; Specialty (RV)'!J33)*100</f>
        <v>1.9309886491301511</v>
      </c>
      <c r="K20" s="165">
        <f>('Pay &amp; Specialty (RV)'!K20)/('Pay &amp; Specialty (RV)'!K33)*100</f>
        <v>2.6679176427925935</v>
      </c>
      <c r="L20" s="165">
        <f>('Pay &amp; Specialty (RV)'!L20)/('Pay &amp; Specialty (RV)'!L33)*100</f>
        <v>3.0148672978144613</v>
      </c>
      <c r="M20" s="165">
        <f>('Pay &amp; Specialty (RV)'!M20)/('Pay &amp; Specialty (RV)'!M33)*100</f>
        <v>3.4428986686366301</v>
      </c>
      <c r="N20" s="165">
        <f>('Pay &amp; Specialty (RV)'!N20)/('Pay &amp; Specialty (RV)'!N33)*100</f>
        <v>3.5101493671220245</v>
      </c>
      <c r="O20" s="165">
        <f>('Pay &amp; Specialty (RV)'!O20)/('Pay &amp; Specialty (RV)'!O33)*100</f>
        <v>3.8634854378142491</v>
      </c>
      <c r="P20" s="24"/>
      <c r="Q20" s="24"/>
      <c r="R20" s="24"/>
      <c r="S20" s="24"/>
      <c r="T20" s="24"/>
      <c r="U20" s="24"/>
      <c r="V20" s="24"/>
      <c r="W20" s="24"/>
      <c r="X20" s="24"/>
      <c r="Y20" s="24"/>
    </row>
    <row r="21" spans="1:25" ht="15.75" customHeight="1" x14ac:dyDescent="0.25">
      <c r="A21" s="5" t="s">
        <v>290</v>
      </c>
      <c r="B21" s="81"/>
      <c r="C21" s="81"/>
      <c r="D21" s="81"/>
      <c r="E21" s="32"/>
      <c r="F21" s="81"/>
      <c r="G21" s="32"/>
      <c r="H21" s="32"/>
      <c r="I21" s="165">
        <f>('Pay &amp; Specialty (RV)'!I21)/('Pay &amp; Specialty (RV)'!I33)*100</f>
        <v>0.35831863339210085</v>
      </c>
      <c r="J21" s="32" t="s">
        <v>583</v>
      </c>
      <c r="K21" s="32"/>
      <c r="L21" s="32"/>
      <c r="M21" s="32"/>
      <c r="N21" s="32"/>
      <c r="O21" s="32"/>
      <c r="P21" s="24"/>
      <c r="Q21" s="24"/>
      <c r="R21" s="24"/>
      <c r="S21" s="24"/>
      <c r="T21" s="24"/>
      <c r="U21" s="24"/>
      <c r="V21" s="24"/>
      <c r="W21" s="24"/>
      <c r="X21" s="24"/>
      <c r="Y21" s="24"/>
    </row>
    <row r="22" spans="1:25" ht="15.75" customHeight="1" x14ac:dyDescent="0.25">
      <c r="A22" s="5" t="s">
        <v>293</v>
      </c>
      <c r="B22" s="81"/>
      <c r="C22" s="81"/>
      <c r="D22" s="81"/>
      <c r="E22" s="32"/>
      <c r="F22" s="165">
        <f>('Pay &amp; Specialty (RV)'!F22)/('Pay &amp; Specialty (RV)'!F33)*100</f>
        <v>4.0783770768119432</v>
      </c>
      <c r="G22" s="165">
        <f>('Pay &amp; Specialty (RV)'!G22)/('Pay &amp; Specialty (RV)'!G33)*100</f>
        <v>4.0732375231865774</v>
      </c>
      <c r="H22" s="32" t="s">
        <v>294</v>
      </c>
      <c r="I22" s="32"/>
      <c r="J22" s="32"/>
      <c r="K22" s="32"/>
      <c r="L22" s="32"/>
      <c r="M22" s="32"/>
      <c r="N22" s="32"/>
      <c r="O22" s="32"/>
      <c r="P22" s="24"/>
      <c r="Q22" s="24"/>
      <c r="R22" s="24"/>
      <c r="S22" s="24"/>
      <c r="T22" s="24"/>
      <c r="U22" s="24"/>
      <c r="V22" s="24"/>
      <c r="W22" s="24"/>
      <c r="X22" s="24"/>
      <c r="Y22" s="24"/>
    </row>
    <row r="23" spans="1:25" ht="15.75" customHeight="1" x14ac:dyDescent="0.25">
      <c r="A23" s="5" t="s">
        <v>295</v>
      </c>
      <c r="B23" s="81"/>
      <c r="C23" s="81"/>
      <c r="D23" s="165">
        <f>('Pay &amp; Specialty (RV)'!D23)/('Pay &amp; Specialty (RV)'!D33)*100</f>
        <v>4.4707029248952956</v>
      </c>
      <c r="E23" s="165">
        <f>('Pay &amp; Specialty (RV)'!E23)/('Pay &amp; Specialty (RV)'!E33)*100</f>
        <v>4.5042309405239074</v>
      </c>
      <c r="F23" s="165">
        <f>('Pay &amp; Specialty (RV)'!F23)/('Pay &amp; Specialty (RV)'!F33)*100</f>
        <v>3.7171923910426194</v>
      </c>
      <c r="G23" s="165">
        <f>('Pay &amp; Specialty (RV)'!G23)/('Pay &amp; Specialty (RV)'!G33)*100</f>
        <v>3.3725931678862628</v>
      </c>
      <c r="H23" s="165">
        <f>('Pay &amp; Specialty (RV)'!H23)/('Pay &amp; Specialty (RV)'!H33)*100</f>
        <v>2.5345729126572007</v>
      </c>
      <c r="I23" s="165">
        <f>('Pay &amp; Specialty (RV)'!I23)/('Pay &amp; Specialty (RV)'!I33)*100</f>
        <v>1.9029624719337244</v>
      </c>
      <c r="J23" s="165">
        <f>('Pay &amp; Specialty (RV)'!J23)/('Pay &amp; Specialty (RV)'!J33)*100</f>
        <v>1.6819388763624814</v>
      </c>
      <c r="K23" s="165">
        <f>('Pay &amp; Specialty (RV)'!K23)/('Pay &amp; Specialty (RV)'!K33)*100</f>
        <v>1.3526659030340009</v>
      </c>
      <c r="L23" s="165">
        <f>('Pay &amp; Specialty (RV)'!L23)/('Pay &amp; Specialty (RV)'!L33)*100</f>
        <v>1.3099998612627439</v>
      </c>
      <c r="M23" s="165">
        <f>('Pay &amp; Specialty (RV)'!M23)/('Pay &amp; Specialty (RV)'!M33)*100</f>
        <v>1.2702935058512894</v>
      </c>
      <c r="N23" s="165">
        <f>('Pay &amp; Specialty (RV)'!N23)/('Pay &amp; Specialty (RV)'!N33)*100</f>
        <v>1.2417520045250616</v>
      </c>
      <c r="O23" s="165">
        <f>('Pay &amp; Specialty (RV)'!O23)/('Pay &amp; Specialty (RV)'!O33)*100</f>
        <v>1.1265534579261931</v>
      </c>
      <c r="P23" s="24"/>
      <c r="Q23" s="24"/>
      <c r="R23" s="24"/>
      <c r="S23" s="24"/>
      <c r="T23" s="24"/>
      <c r="U23" s="24"/>
      <c r="V23" s="24"/>
      <c r="W23" s="24"/>
      <c r="X23" s="24"/>
      <c r="Y23" s="24"/>
    </row>
    <row r="24" spans="1:25" ht="15.75" customHeight="1" x14ac:dyDescent="0.25">
      <c r="A24" s="5" t="s">
        <v>296</v>
      </c>
      <c r="B24" s="81"/>
      <c r="C24" s="165">
        <f>('Pay &amp; Specialty (RV)'!C24)/('Pay &amp; Specialty (RV)'!C33)*100</f>
        <v>1.5449438202247192</v>
      </c>
      <c r="D24" s="165">
        <f>('Pay &amp; Specialty (RV)'!D24)/('Pay &amp; Specialty (RV)'!D33)*100</f>
        <v>1.210815375492476</v>
      </c>
      <c r="E24" s="165">
        <f>('Pay &amp; Specialty (RV)'!E24)/('Pay &amp; Specialty (RV)'!E33)*100</f>
        <v>0.93627272359204827</v>
      </c>
      <c r="F24" s="165">
        <f>('Pay &amp; Specialty (RV)'!F24)/('Pay &amp; Specialty (RV)'!F33)*100</f>
        <v>2.2724536479653263</v>
      </c>
      <c r="G24" s="165">
        <f>('Pay &amp; Specialty (RV)'!G24)/('Pay &amp; Specialty (RV)'!G33)*100</f>
        <v>2.2681876586840715</v>
      </c>
      <c r="H24" s="165">
        <f>('Pay &amp; Specialty (RV)'!H24)/('Pay &amp; Specialty (RV)'!H33)*100</f>
        <v>1.7395671232833583</v>
      </c>
      <c r="I24" s="165">
        <f>('Pay &amp; Specialty (RV)'!I24)/('Pay &amp; Specialty (RV)'!I33)*100</f>
        <v>1.1911673488440109</v>
      </c>
      <c r="J24" s="165">
        <f>('Pay &amp; Specialty (RV)'!J24)/('Pay &amp; Specialty (RV)'!J33)*100</f>
        <v>0.9825525281792995</v>
      </c>
      <c r="K24" s="165">
        <f>('Pay &amp; Specialty (RV)'!K24)/('Pay &amp; Specialty (RV)'!K33)*100</f>
        <v>1.0130604209956773</v>
      </c>
      <c r="L24" s="165">
        <f>('Pay &amp; Specialty (RV)'!L24)/('Pay &amp; Specialty (RV)'!L33)*100</f>
        <v>0.95248462417678126</v>
      </c>
      <c r="M24" s="165">
        <f>('Pay &amp; Specialty (RV)'!M24)/('Pay &amp; Specialty (RV)'!M33)*100</f>
        <v>0.90735250417949243</v>
      </c>
      <c r="N24" s="165">
        <f>('Pay &amp; Specialty (RV)'!N24)/('Pay &amp; Specialty (RV)'!N33)*100</f>
        <v>0.80420553048965604</v>
      </c>
      <c r="O24" s="165">
        <f>('Pay &amp; Specialty (RV)'!O25)/('Pay &amp; Specialty (RV)'!O33)*100</f>
        <v>0.80115738544730108</v>
      </c>
      <c r="P24" s="24"/>
      <c r="Q24" s="24"/>
      <c r="R24" s="24"/>
      <c r="S24" s="24"/>
      <c r="T24" s="24"/>
      <c r="U24" s="24"/>
      <c r="V24" s="24"/>
      <c r="W24" s="24"/>
      <c r="X24" s="24"/>
      <c r="Y24" s="24"/>
    </row>
    <row r="25" spans="1:25" ht="15.75" customHeight="1" x14ac:dyDescent="0.25">
      <c r="A25" s="5" t="s">
        <v>298</v>
      </c>
      <c r="B25" s="81"/>
      <c r="C25" s="81"/>
      <c r="D25" s="81"/>
      <c r="E25" s="81"/>
      <c r="F25" s="81"/>
      <c r="G25" s="81"/>
      <c r="H25" s="81"/>
      <c r="I25" s="32"/>
      <c r="J25" s="32"/>
      <c r="K25" s="165">
        <f>('Pay &amp; Specialty (RV)'!K25)/('Pay &amp; Specialty (RV)'!K33)*100</f>
        <v>0.65618686359947276</v>
      </c>
      <c r="L25" s="165">
        <f>('Pay &amp; Specialty (RV)'!L25)/('Pay &amp; Specialty (RV)'!L33)*100</f>
        <v>0.69101825675570394</v>
      </c>
      <c r="M25" s="165">
        <f>('Pay &amp; Specialty (RV)'!M25)/('Pay &amp; Specialty (RV)'!M33)*100</f>
        <v>0.72084115609815236</v>
      </c>
      <c r="N25" s="165">
        <f>('Pay &amp; Specialty (RV)'!N25)/('Pay &amp; Specialty (RV)'!N33)*100</f>
        <v>0.81887189274782601</v>
      </c>
      <c r="O25" s="165">
        <f>('Pay &amp; Specialty (RV)'!O25)/('Pay &amp; Specialty (RV)'!O33)*100</f>
        <v>0.80115738544730108</v>
      </c>
      <c r="P25" s="24"/>
      <c r="Q25" s="24"/>
      <c r="R25" s="24"/>
      <c r="S25" s="24"/>
      <c r="T25" s="24"/>
      <c r="U25" s="24"/>
      <c r="V25" s="24"/>
      <c r="W25" s="24"/>
      <c r="X25" s="24"/>
      <c r="Y25" s="24"/>
    </row>
    <row r="26" spans="1:25" ht="27" customHeight="1" x14ac:dyDescent="0.25">
      <c r="A26" s="5" t="s">
        <v>299</v>
      </c>
      <c r="B26" s="81"/>
      <c r="C26" s="81"/>
      <c r="D26" s="81"/>
      <c r="E26" s="81"/>
      <c r="F26" s="81"/>
      <c r="G26" s="32"/>
      <c r="H26" s="32"/>
      <c r="I26" s="32"/>
      <c r="J26" s="32"/>
      <c r="K26" s="32" t="s">
        <v>594</v>
      </c>
      <c r="L26" s="165">
        <f>('Pay &amp; Specialty (RV)'!L26)/('Pay &amp; Specialty (RV)'!L33)*100</f>
        <v>0.51492866237008061</v>
      </c>
      <c r="M26" s="165">
        <f>('Pay &amp; Specialty (RV)'!M26)/('Pay &amp; Specialty (RV)'!M33)*100</f>
        <v>0.53937065526225381</v>
      </c>
      <c r="N26" s="32">
        <v>0</v>
      </c>
      <c r="O26" s="32"/>
      <c r="P26" s="24"/>
      <c r="Q26" s="24"/>
      <c r="R26" s="24"/>
      <c r="S26" s="24"/>
      <c r="T26" s="24"/>
      <c r="U26" s="24"/>
      <c r="V26" s="24"/>
      <c r="W26" s="24"/>
      <c r="X26" s="24"/>
      <c r="Y26" s="24"/>
    </row>
    <row r="27" spans="1:25" ht="15.75" customHeight="1" x14ac:dyDescent="0.25">
      <c r="A27" s="404" t="s">
        <v>303</v>
      </c>
      <c r="B27" s="81"/>
      <c r="C27" s="81"/>
      <c r="D27" s="81"/>
      <c r="E27" s="81"/>
      <c r="F27" s="81"/>
      <c r="G27" s="32"/>
      <c r="H27" s="32"/>
      <c r="I27" s="32"/>
      <c r="J27" s="32"/>
      <c r="K27" s="32"/>
      <c r="L27" s="165"/>
      <c r="M27" s="165"/>
      <c r="N27" s="29">
        <f>('Pay &amp; Specialty (RV)'!N27)/('Pay &amp; Specialty (RV)'!N33)*100</f>
        <v>1.8699611879166775</v>
      </c>
      <c r="O27" s="412">
        <f>('Pay &amp; Specialty (RV)'!O27)/('Pay &amp; Specialty (RV)'!O33)*100</f>
        <v>1.9258134901811976</v>
      </c>
      <c r="P27" s="395"/>
      <c r="Q27" s="395"/>
      <c r="R27" s="395"/>
      <c r="S27" s="395"/>
      <c r="T27" s="395"/>
      <c r="U27" s="395"/>
      <c r="V27" s="395"/>
      <c r="W27" s="395"/>
      <c r="X27" s="395"/>
      <c r="Y27" s="395"/>
    </row>
    <row r="28" spans="1:25" ht="15.75" customHeight="1" x14ac:dyDescent="0.25">
      <c r="A28" s="118" t="s">
        <v>306</v>
      </c>
      <c r="B28" s="81"/>
      <c r="C28" s="81"/>
      <c r="D28" s="81"/>
      <c r="E28" s="81"/>
      <c r="F28" s="81"/>
      <c r="G28" s="11"/>
      <c r="H28" s="11"/>
      <c r="I28" s="420">
        <f>('Pay &amp; Specialty (RV)'!I28)/('Pay &amp; Specialty (RV)'!I33)*100</f>
        <v>0.68758440461727455</v>
      </c>
      <c r="J28" s="420">
        <f>('Pay &amp; Specialty (RV)'!J28)/('Pay &amp; Specialty (RV)'!J33)*100</f>
        <v>0.59703712649783813</v>
      </c>
      <c r="K28" s="123">
        <f>('Pay &amp; Specialty (RV)'!K28)/('Pay &amp; Specialty (RV)'!K33)*100</f>
        <v>0.52379828585571941</v>
      </c>
      <c r="L28" s="420">
        <f>('Pay &amp; Specialty (RV)'!L28)/('Pay &amp; Specialty (RV)'!L33)*100</f>
        <v>0.5416089039436599</v>
      </c>
      <c r="M28" s="128" t="s">
        <v>308</v>
      </c>
      <c r="N28" s="183"/>
      <c r="O28" s="426"/>
      <c r="P28" s="24"/>
      <c r="Q28" s="24"/>
      <c r="R28" s="24"/>
      <c r="S28" s="24"/>
      <c r="T28" s="24"/>
      <c r="U28" s="24"/>
      <c r="V28" s="24"/>
      <c r="W28" s="24"/>
      <c r="X28" s="24"/>
      <c r="Y28" s="24"/>
    </row>
    <row r="29" spans="1:25" ht="15.75" customHeight="1" x14ac:dyDescent="0.25">
      <c r="A29" s="5" t="s">
        <v>310</v>
      </c>
      <c r="B29" s="420">
        <f>('Pay &amp; Specialty (RV)'!B29)/('Pay &amp; Specialty (RV)'!B33)*100</f>
        <v>100</v>
      </c>
      <c r="C29" s="420">
        <f>('Pay &amp; Specialty (RV)'!C29)/('Pay &amp; Specialty (RV)'!C33)*100</f>
        <v>15.44943820224719</v>
      </c>
      <c r="D29" s="420">
        <f>('Pay &amp; Specialty (RV)'!D29)/('Pay &amp; Specialty (RV)'!D33)*100</f>
        <v>9.8408243479448743</v>
      </c>
      <c r="E29" s="434">
        <f>('Pay &amp; Specialty (RV)'!E29)/('Pay &amp; Specialty (RV)'!E33)*100</f>
        <v>14.697963480302848</v>
      </c>
      <c r="F29" s="420">
        <f>('Pay &amp; Specialty (RV)'!F29)/('Pay &amp; Specialty (RV)'!F33)*100</f>
        <v>8.349385986034175</v>
      </c>
      <c r="G29" s="420">
        <f>('Pay &amp; Specialty (RV)'!G29)/('Pay &amp; Specialty (RV)'!G33)*100</f>
        <v>-9.9774131260375931</v>
      </c>
      <c r="H29" s="420">
        <f>('Pay &amp; Specialty (RV)'!H29)/('Pay &amp; Specialty (RV)'!H33)*100</f>
        <v>26.552484944085929</v>
      </c>
      <c r="I29" s="420">
        <f>('Pay &amp; Specialty (RV)'!I29)/('Pay &amp; Specialty (RV)'!I33)*100</f>
        <v>12.502463440604556</v>
      </c>
      <c r="J29" s="420">
        <f>('Pay &amp; Specialty (RV)'!J29)/('Pay &amp; Specialty (RV)'!J33)*100</f>
        <v>7.3102095736779695</v>
      </c>
      <c r="K29" s="420">
        <f>('Pay &amp; Specialty (RV)'!K29)/('Pay &amp; Specialty (RV)'!K33)*100</f>
        <v>12.632951229199197</v>
      </c>
      <c r="L29" s="420">
        <f>('Pay &amp; Specialty (RV)'!L29)/('Pay &amp; Specialty (RV)'!L33)*100</f>
        <v>8.7056809171172951</v>
      </c>
      <c r="M29" s="420">
        <f>('Pay &amp; Specialty (RV)'!M29)/('Pay &amp; Specialty (RV)'!M33)*100</f>
        <v>10.470193848301232</v>
      </c>
      <c r="N29" s="420">
        <f>('Pay &amp; Specialty (RV)'!N29)/('Pay &amp; Specialty (RV)'!N33)*100</f>
        <v>16.2917080787701</v>
      </c>
      <c r="O29" s="420">
        <f>('Pay &amp; Specialty (RV)'!O29)/('Pay &amp; Specialty (RV)'!O33)*100</f>
        <v>7.0918318945071679</v>
      </c>
      <c r="P29" s="24"/>
      <c r="Q29" s="24"/>
      <c r="R29" s="24"/>
      <c r="S29" s="24"/>
      <c r="T29" s="24"/>
      <c r="U29" s="24"/>
      <c r="V29" s="24"/>
      <c r="W29" s="24"/>
      <c r="X29" s="24"/>
      <c r="Y29" s="24"/>
    </row>
    <row r="30" spans="1:25" ht="15.75" customHeight="1" x14ac:dyDescent="0.25">
      <c r="A30" s="5"/>
      <c r="B30" s="81"/>
      <c r="C30" s="81"/>
      <c r="D30" s="81"/>
      <c r="E30" s="81"/>
      <c r="F30" s="81"/>
      <c r="G30" s="32"/>
      <c r="H30" s="32"/>
      <c r="I30" s="32"/>
      <c r="J30" s="32"/>
      <c r="K30" s="32"/>
      <c r="L30" s="32"/>
      <c r="M30" s="32"/>
      <c r="N30" s="32"/>
      <c r="O30" s="32"/>
      <c r="P30" s="24"/>
      <c r="Q30" s="24"/>
      <c r="R30" s="24"/>
      <c r="S30" s="24"/>
      <c r="T30" s="24"/>
      <c r="U30" s="24"/>
      <c r="V30" s="24"/>
      <c r="W30" s="24"/>
      <c r="X30" s="24"/>
      <c r="Y30" s="24"/>
    </row>
    <row r="31" spans="1:25" ht="15.75" customHeight="1" x14ac:dyDescent="0.25">
      <c r="A31" s="5"/>
      <c r="B31" s="81"/>
      <c r="C31" s="81"/>
      <c r="D31" s="81"/>
      <c r="E31" s="81"/>
      <c r="F31" s="81"/>
      <c r="G31" s="32"/>
      <c r="H31" s="32"/>
      <c r="I31" s="32"/>
      <c r="J31" s="32"/>
      <c r="K31" s="32"/>
      <c r="L31" s="32"/>
      <c r="M31" s="32"/>
      <c r="N31" s="32"/>
      <c r="O31" s="32"/>
      <c r="P31" s="24"/>
      <c r="Q31" s="24"/>
      <c r="R31" s="24"/>
      <c r="S31" s="24"/>
      <c r="T31" s="24"/>
      <c r="U31" s="24"/>
      <c r="V31" s="24"/>
      <c r="W31" s="24"/>
      <c r="X31" s="24"/>
      <c r="Y31" s="24"/>
    </row>
    <row r="32" spans="1:25" ht="15.75" customHeight="1" x14ac:dyDescent="0.25">
      <c r="A32" s="5"/>
      <c r="B32" s="81"/>
      <c r="C32" s="81"/>
      <c r="D32" s="81"/>
      <c r="E32" s="81"/>
      <c r="F32" s="81"/>
      <c r="G32" s="32"/>
      <c r="H32" s="32"/>
      <c r="I32" s="32"/>
      <c r="J32" s="32"/>
      <c r="K32" s="32"/>
      <c r="L32" s="32"/>
      <c r="M32" s="32"/>
      <c r="N32" s="32"/>
      <c r="O32" s="32"/>
      <c r="P32" s="24"/>
      <c r="Q32" s="24"/>
      <c r="R32" s="24"/>
      <c r="S32" s="24"/>
      <c r="T32" s="24"/>
      <c r="U32" s="24"/>
      <c r="V32" s="24"/>
      <c r="W32" s="24"/>
      <c r="X32" s="24"/>
      <c r="Y32" s="24"/>
    </row>
    <row r="33" spans="1:25" ht="15.75" customHeight="1" x14ac:dyDescent="0.25">
      <c r="A33" s="193" t="s">
        <v>323</v>
      </c>
      <c r="B33" s="451">
        <f>'Pay &amp; Specialty (RV)'!B33</f>
        <v>93.8</v>
      </c>
      <c r="C33" s="451">
        <f>'Pay &amp; Specialty (RV)'!C33</f>
        <v>142.4</v>
      </c>
      <c r="D33" s="451">
        <f>'Pay &amp; Specialty (RV)'!D33</f>
        <v>322.09699999999998</v>
      </c>
      <c r="E33" s="451">
        <f>'Pay &amp; Specialty (RV)'!E33</f>
        <v>395.18400000000003</v>
      </c>
      <c r="F33" s="451">
        <f>'Pay &amp; Specialty (RV)'!F33</f>
        <v>664.48</v>
      </c>
      <c r="G33" s="451">
        <f>'Pay &amp; Specialty (RV)'!G33</f>
        <v>842.08199999999999</v>
      </c>
      <c r="H33" s="451">
        <f>'Pay &amp; Specialty (RV)'!H33</f>
        <v>1270.431</v>
      </c>
      <c r="I33" s="451">
        <f>'Pay &amp; Specialty (RV)'!I33</f>
        <v>2065.201</v>
      </c>
      <c r="J33" s="451">
        <f>'Pay &amp; Specialty (RV)'!J33</f>
        <v>2931.1410000000001</v>
      </c>
      <c r="K33" s="451">
        <f>'Pay &amp; Specialty (RV)'!K33</f>
        <v>3474.62</v>
      </c>
      <c r="L33" s="451">
        <f>'Pay &amp; Specialty (RV)'!L33</f>
        <v>3748.0920000000001</v>
      </c>
      <c r="M33" s="451">
        <f>'Pay &amp; Specialty (RV)'!M33</f>
        <v>3967.587</v>
      </c>
      <c r="N33" s="451">
        <f>'Pay &amp; Specialty (RV)'!N33</f>
        <v>4090.9940000000001</v>
      </c>
      <c r="O33" s="451">
        <f>'Pay &amp; Specialty (RV)'!O33</f>
        <v>4216.3999999999996</v>
      </c>
      <c r="P33" s="42"/>
      <c r="Q33" s="42"/>
      <c r="R33" s="42"/>
      <c r="S33" s="42"/>
      <c r="T33" s="42"/>
      <c r="U33" s="42"/>
      <c r="V33" s="42"/>
      <c r="W33" s="42"/>
      <c r="X33" s="42"/>
      <c r="Y33" s="42"/>
    </row>
    <row r="34" spans="1:25" ht="15.75" customHeight="1" x14ac:dyDescent="0.25">
      <c r="A34" s="246" t="s">
        <v>341</v>
      </c>
      <c r="B34" s="165">
        <f>'Pay &amp; Specialty (RV)'!B34</f>
        <v>1710.5229999999999</v>
      </c>
      <c r="C34" s="165">
        <f>'Pay &amp; Specialty (RV)'!C34</f>
        <v>2170.3870000000002</v>
      </c>
      <c r="D34" s="165">
        <f>'Pay &amp; Specialty (RV)'!D34</f>
        <v>2403.2980000000002</v>
      </c>
      <c r="E34" s="165">
        <f>'Pay &amp; Specialty (RV)'!E34</f>
        <v>2489.116</v>
      </c>
      <c r="F34" s="165">
        <f>'Pay &amp; Specialty (RV)'!F34</f>
        <v>2663.692</v>
      </c>
      <c r="G34" s="165">
        <f>'Pay &amp; Specialty (RV)'!G34</f>
        <v>2931.2179999999998</v>
      </c>
      <c r="H34" s="165">
        <f>'Pay &amp; Specialty (RV)'!H34</f>
        <v>3046.1109999999999</v>
      </c>
      <c r="I34" s="165">
        <f>'Pay &amp; Specialty (RV)'!I34</f>
        <v>3190.152</v>
      </c>
      <c r="J34" s="165">
        <f>'Pay &amp; Specialty (RV)'!J34</f>
        <v>3390.7169999999996</v>
      </c>
      <c r="K34" s="165">
        <f>'Pay &amp; Specialty (RV)'!K34</f>
        <v>3415.364</v>
      </c>
      <c r="L34" s="165">
        <f>'Pay &amp; Specialty (RV)'!L34</f>
        <v>3501.7339999999999</v>
      </c>
      <c r="M34" s="165">
        <f>'Pay &amp; Specialty (RV)'!M34</f>
        <v>3419.8710000000001</v>
      </c>
      <c r="N34" s="165">
        <f>'Pay &amp; Specialty (RV)'!N34</f>
        <v>3204.9059999999999</v>
      </c>
      <c r="O34" s="165">
        <f>'Pay &amp; Specialty (RV)'!O34</f>
        <v>3059.2</v>
      </c>
      <c r="P34" s="24"/>
      <c r="Q34" s="24"/>
      <c r="R34" s="24"/>
      <c r="S34" s="24"/>
      <c r="T34" s="24"/>
      <c r="U34" s="24"/>
      <c r="V34" s="24"/>
      <c r="W34" s="24"/>
      <c r="X34" s="24"/>
      <c r="Y34" s="24"/>
    </row>
    <row r="35" spans="1:25" ht="15.75" customHeight="1" x14ac:dyDescent="0.25">
      <c r="A35" s="246" t="s">
        <v>42</v>
      </c>
      <c r="B35" s="165" t="s">
        <v>346</v>
      </c>
      <c r="C35" s="17">
        <f>SUM(C4+C9+C18+C17)</f>
        <v>79.49438202247191</v>
      </c>
      <c r="D35" s="165">
        <f t="shared" ref="D35:E35" si="0">SUM(D4+D9+D18+D19)</f>
        <v>70.351477970921806</v>
      </c>
      <c r="E35" s="165">
        <f t="shared" si="0"/>
        <v>66.171707356573137</v>
      </c>
      <c r="F35" s="165">
        <f>SUM(F4+F9+F19+F7)</f>
        <v>62.183963399951843</v>
      </c>
      <c r="G35" s="165">
        <f>SUM(G4+G9+G8+G19)</f>
        <v>63.628007723713381</v>
      </c>
      <c r="H35" s="165">
        <f>H4+H10+H8+H14</f>
        <v>44.866663360701992</v>
      </c>
      <c r="I35" s="165">
        <f>SUM(I4+I6+I10+I14)</f>
        <v>59.868264638647766</v>
      </c>
      <c r="J35" s="165">
        <f>SUM(J4+J5+J10+J13)</f>
        <v>71.34315442348219</v>
      </c>
      <c r="K35" s="165">
        <f>SUM(K4+K5+K10+K18)</f>
        <v>74.651989282281221</v>
      </c>
      <c r="L35" s="165">
        <f t="shared" ref="L35:M35" si="1">SUM(L3+L4+L10+L18)</f>
        <v>80.013912945573367</v>
      </c>
      <c r="M35" s="165">
        <f t="shared" si="1"/>
        <v>78.419778822745414</v>
      </c>
      <c r="N35" s="165">
        <f t="shared" ref="N35:O35" si="2">SUM(N3+N10+N18+N19)</f>
        <v>74.981806377618739</v>
      </c>
      <c r="O35" s="165">
        <f t="shared" si="2"/>
        <v>84.036144578313269</v>
      </c>
      <c r="P35" s="24"/>
      <c r="Q35" s="24"/>
      <c r="R35" s="24"/>
      <c r="S35" s="24"/>
      <c r="T35" s="24"/>
      <c r="U35" s="24"/>
      <c r="V35" s="24"/>
      <c r="W35" s="24"/>
      <c r="X35" s="24"/>
      <c r="Y35" s="24"/>
    </row>
    <row r="36" spans="1:25" ht="15.75" customHeight="1" x14ac:dyDescent="0.25">
      <c r="A36" s="246" t="s">
        <v>43</v>
      </c>
      <c r="B36" s="165" t="s">
        <v>346</v>
      </c>
      <c r="C36" s="17">
        <f t="shared" ref="C36:O36" si="3">SUMSQ(C3:C10,C13:C26)</f>
        <v>1787.9884168665571</v>
      </c>
      <c r="D36" s="165">
        <f t="shared" si="3"/>
        <v>1518.1643168381593</v>
      </c>
      <c r="E36" s="165">
        <f t="shared" si="3"/>
        <v>1385.5910499881627</v>
      </c>
      <c r="F36" s="165">
        <f t="shared" si="3"/>
        <v>1443.3322818227364</v>
      </c>
      <c r="G36" s="165">
        <f t="shared" si="3"/>
        <v>1545.0899216796772</v>
      </c>
      <c r="H36" s="165">
        <f t="shared" si="3"/>
        <v>709.60935608889054</v>
      </c>
      <c r="I36" s="165">
        <f t="shared" si="3"/>
        <v>1072.312740932259</v>
      </c>
      <c r="J36" s="165">
        <f t="shared" si="3"/>
        <v>1434.5500172445002</v>
      </c>
      <c r="K36" s="165">
        <f t="shared" si="3"/>
        <v>1598.432120153843</v>
      </c>
      <c r="L36" s="165">
        <f t="shared" si="3"/>
        <v>1834.5788800923594</v>
      </c>
      <c r="M36" s="165">
        <f t="shared" si="3"/>
        <v>1760.4045568866256</v>
      </c>
      <c r="N36" s="165">
        <f t="shared" si="3"/>
        <v>1964.3529347265353</v>
      </c>
      <c r="O36" s="165">
        <f t="shared" si="3"/>
        <v>2582.6853455637533</v>
      </c>
      <c r="P36" s="24"/>
      <c r="Q36" s="24"/>
      <c r="R36" s="24"/>
      <c r="S36" s="24"/>
      <c r="T36" s="24"/>
      <c r="U36" s="24"/>
      <c r="V36" s="24"/>
      <c r="W36" s="24"/>
      <c r="X36" s="24"/>
      <c r="Y36" s="24"/>
    </row>
    <row r="37" spans="1:25" ht="15.75" customHeight="1" x14ac:dyDescent="0.25">
      <c r="A37" s="211" t="s">
        <v>368</v>
      </c>
      <c r="B37" s="298"/>
      <c r="C37" s="298"/>
      <c r="D37" s="298"/>
      <c r="E37" s="298"/>
      <c r="F37" s="299">
        <f>SUM(F4+F9+F19+F7)</f>
        <v>62.183963399951843</v>
      </c>
      <c r="G37" s="299">
        <f>SUM(G4+G9+G19+G8)</f>
        <v>63.628007723713381</v>
      </c>
      <c r="H37" s="299">
        <f>SUM(H4+H14+H12+H8)</f>
        <v>44.866663360701999</v>
      </c>
      <c r="I37" s="299">
        <f>SUM(I4+I14+I12+I6)</f>
        <v>59.059626641668288</v>
      </c>
      <c r="J37" s="299">
        <f>SUM(J4+J13+J12+J5)</f>
        <v>69.227937175318417</v>
      </c>
      <c r="K37" s="299">
        <f>SUM(K4+K11+K12+K5)</f>
        <v>64.314168168029894</v>
      </c>
      <c r="L37" s="299">
        <f t="shared" ref="L37:M37" si="4">SUM(L4+L11+L12+L3)</f>
        <v>68.786867291411198</v>
      </c>
      <c r="M37" s="299">
        <f t="shared" si="4"/>
        <v>67.009821082688291</v>
      </c>
      <c r="N37" s="299">
        <f t="shared" ref="N37:O37" si="5">SUM(N18+N11+N12+N3)</f>
        <v>71.048776898719467</v>
      </c>
      <c r="O37" s="299">
        <f t="shared" si="5"/>
        <v>78.797078076083864</v>
      </c>
      <c r="P37" s="161"/>
      <c r="Q37" s="161"/>
      <c r="R37" s="161"/>
      <c r="S37" s="161"/>
      <c r="T37" s="161"/>
      <c r="U37" s="161"/>
      <c r="V37" s="161"/>
      <c r="W37" s="161"/>
      <c r="X37" s="161"/>
      <c r="Y37" s="161"/>
    </row>
    <row r="38" spans="1:25" ht="15.75" customHeight="1" x14ac:dyDescent="0.25">
      <c r="A38" s="211" t="s">
        <v>377</v>
      </c>
      <c r="B38" s="298"/>
      <c r="C38" s="298"/>
      <c r="D38" s="298"/>
      <c r="E38" s="298"/>
      <c r="F38" s="299">
        <f t="shared" ref="F38:O38" si="6">SUMSQ(F3:F9,F11:F26)</f>
        <v>1443.3322818227364</v>
      </c>
      <c r="G38" s="299">
        <f t="shared" si="6"/>
        <v>1545.0899216796772</v>
      </c>
      <c r="H38" s="299">
        <f t="shared" si="6"/>
        <v>709.60935608889054</v>
      </c>
      <c r="I38" s="299">
        <f t="shared" si="6"/>
        <v>1047.8875938150634</v>
      </c>
      <c r="J38" s="299">
        <f t="shared" si="6"/>
        <v>1378.8586942435106</v>
      </c>
      <c r="K38" s="299">
        <f t="shared" si="6"/>
        <v>1222.5445843945115</v>
      </c>
      <c r="L38" s="299">
        <f t="shared" si="6"/>
        <v>1450.1916133589234</v>
      </c>
      <c r="M38" s="299">
        <f t="shared" si="6"/>
        <v>1415.8847781401598</v>
      </c>
      <c r="N38" s="299">
        <f t="shared" si="6"/>
        <v>1625.5270217516322</v>
      </c>
      <c r="O38" s="299">
        <f t="shared" si="6"/>
        <v>2201.7427666514504</v>
      </c>
      <c r="P38" s="161"/>
      <c r="Q38" s="161"/>
      <c r="R38" s="161"/>
      <c r="S38" s="161"/>
      <c r="T38" s="161"/>
      <c r="U38" s="161"/>
      <c r="V38" s="161"/>
      <c r="W38" s="161"/>
      <c r="X38" s="161"/>
      <c r="Y38" s="161"/>
    </row>
    <row r="39" spans="1:25" ht="15.75" customHeight="1" x14ac:dyDescent="0.25">
      <c r="A39" s="9"/>
      <c r="B39" s="11"/>
      <c r="C39" s="11"/>
      <c r="D39" s="11"/>
      <c r="E39" s="11"/>
      <c r="F39" s="11"/>
      <c r="G39" s="11"/>
      <c r="H39" s="11"/>
      <c r="I39" s="11"/>
      <c r="J39" s="11"/>
      <c r="K39" s="11"/>
      <c r="L39" s="11"/>
      <c r="M39" s="11"/>
      <c r="N39" s="11"/>
      <c r="O39" s="11"/>
      <c r="P39" s="24"/>
      <c r="Q39" s="24"/>
      <c r="R39" s="24"/>
      <c r="S39" s="24"/>
      <c r="T39" s="24"/>
      <c r="U39" s="24"/>
      <c r="V39" s="24"/>
      <c r="W39" s="24"/>
      <c r="X39" s="24"/>
      <c r="Y39" s="24"/>
    </row>
    <row r="40" spans="1:25" ht="15.75" customHeight="1" x14ac:dyDescent="0.25">
      <c r="A40" s="25"/>
      <c r="B40" s="631" t="s">
        <v>46</v>
      </c>
      <c r="C40" s="623"/>
      <c r="D40" s="623"/>
      <c r="E40" s="623"/>
      <c r="F40" s="11"/>
      <c r="G40" s="11"/>
      <c r="H40" s="11"/>
      <c r="I40" s="11"/>
      <c r="J40" s="11"/>
      <c r="K40" s="11"/>
      <c r="L40" s="11"/>
      <c r="M40" s="11"/>
      <c r="N40" s="11"/>
      <c r="O40" s="11"/>
      <c r="P40" s="24"/>
      <c r="Q40" s="24"/>
      <c r="R40" s="24"/>
      <c r="S40" s="24"/>
      <c r="T40" s="24"/>
      <c r="U40" s="24"/>
      <c r="V40" s="24"/>
      <c r="W40" s="24"/>
      <c r="X40" s="24"/>
      <c r="Y40" s="24"/>
    </row>
    <row r="41" spans="1:25" ht="15.75" customHeight="1" x14ac:dyDescent="0.25">
      <c r="A41" s="25"/>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1:25" ht="15.75" customHeight="1" x14ac:dyDescent="0.25">
      <c r="A42" s="193"/>
      <c r="B42" s="11"/>
      <c r="C42" s="11"/>
      <c r="D42" s="11"/>
      <c r="E42" s="11"/>
      <c r="F42" s="11"/>
      <c r="G42" s="11"/>
      <c r="H42" s="11"/>
      <c r="I42" s="11"/>
      <c r="J42" s="11"/>
      <c r="K42" s="11"/>
      <c r="L42" s="11"/>
      <c r="M42" s="11"/>
      <c r="N42" s="24"/>
      <c r="O42" s="24"/>
      <c r="P42" s="24"/>
      <c r="Q42" s="24"/>
      <c r="R42" s="24"/>
      <c r="S42" s="24"/>
      <c r="T42" s="24"/>
      <c r="U42" s="24"/>
      <c r="V42" s="24"/>
      <c r="W42" s="24"/>
      <c r="X42" s="24"/>
      <c r="Y42" s="24"/>
    </row>
    <row r="43" spans="1:25" ht="15.75" customHeight="1" x14ac:dyDescent="0.25">
      <c r="A43" s="25"/>
      <c r="B43" s="24"/>
      <c r="C43" s="24"/>
      <c r="D43" s="24"/>
      <c r="E43" s="24"/>
      <c r="F43" s="24"/>
      <c r="G43" s="24"/>
      <c r="H43" s="24"/>
      <c r="I43" s="24"/>
      <c r="J43" s="24"/>
      <c r="K43" s="24"/>
      <c r="L43" s="24"/>
      <c r="M43" s="24"/>
      <c r="N43" s="24"/>
      <c r="O43" s="24"/>
      <c r="P43" s="24"/>
      <c r="Q43" s="24"/>
      <c r="R43" s="24"/>
      <c r="S43" s="24"/>
      <c r="T43" s="24"/>
      <c r="U43" s="24"/>
      <c r="V43" s="24"/>
      <c r="W43" s="24"/>
      <c r="X43" s="24"/>
      <c r="Y43" s="24"/>
    </row>
  </sheetData>
  <mergeCells count="2">
    <mergeCell ref="B40:E40"/>
    <mergeCell ref="Q7:U15"/>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6.875" customWidth="1"/>
    <col min="2" max="2" width="10.75" customWidth="1"/>
    <col min="3" max="3" width="15.25" customWidth="1"/>
    <col min="4" max="4" width="12" customWidth="1"/>
    <col min="5" max="5" width="13.125" customWidth="1"/>
    <col min="6" max="6" width="11.625" customWidth="1"/>
    <col min="7" max="7" width="16.625" customWidth="1"/>
    <col min="8" max="8" width="12.75" customWidth="1"/>
    <col min="9" max="9" width="17.875" customWidth="1"/>
    <col min="10" max="10" width="16" customWidth="1"/>
    <col min="11" max="11" width="15" customWidth="1"/>
    <col min="12" max="12" width="8.25" customWidth="1"/>
    <col min="13" max="13" width="8.75" customWidth="1"/>
    <col min="14" max="14" width="10" customWidth="1"/>
    <col min="15" max="15" width="8.25" customWidth="1"/>
    <col min="16" max="25" width="7.125" customWidth="1"/>
  </cols>
  <sheetData>
    <row r="1" spans="1:25" ht="18" customHeight="1" x14ac:dyDescent="0.25">
      <c r="A1" s="60"/>
      <c r="B1" s="638" t="s">
        <v>65</v>
      </c>
      <c r="C1" s="623"/>
      <c r="D1" s="623"/>
      <c r="E1" s="623"/>
      <c r="F1" s="623"/>
      <c r="G1" s="623"/>
      <c r="H1" s="623"/>
      <c r="I1" s="623"/>
      <c r="J1" s="623"/>
      <c r="K1" s="623"/>
      <c r="L1" s="623"/>
      <c r="M1" s="623"/>
      <c r="N1" s="79"/>
      <c r="O1" s="79"/>
      <c r="P1" s="79"/>
      <c r="Q1" s="79"/>
      <c r="R1" s="79"/>
      <c r="S1" s="79"/>
      <c r="T1" s="79"/>
      <c r="U1" s="79"/>
      <c r="V1" s="79"/>
      <c r="W1" s="79"/>
      <c r="X1" s="79"/>
      <c r="Y1" s="79"/>
    </row>
    <row r="2" spans="1:25" ht="15.75" customHeight="1" x14ac:dyDescent="0.25">
      <c r="A2" s="3"/>
      <c r="B2" s="4">
        <v>1984</v>
      </c>
      <c r="C2" s="4">
        <v>1988</v>
      </c>
      <c r="D2" s="4">
        <v>1990</v>
      </c>
      <c r="E2" s="4">
        <v>1992</v>
      </c>
      <c r="F2" s="4">
        <v>1996</v>
      </c>
      <c r="G2" s="4">
        <v>1998</v>
      </c>
      <c r="H2" s="4">
        <v>2000</v>
      </c>
      <c r="I2" s="4">
        <v>2004</v>
      </c>
      <c r="J2" s="4" t="s">
        <v>80</v>
      </c>
      <c r="K2" s="4">
        <v>2010</v>
      </c>
      <c r="L2" s="4">
        <v>2011</v>
      </c>
      <c r="M2" s="4">
        <v>2012</v>
      </c>
      <c r="N2" s="4">
        <v>2013</v>
      </c>
      <c r="O2" s="12">
        <v>2014</v>
      </c>
      <c r="P2" s="12"/>
      <c r="Q2" s="12"/>
      <c r="R2" s="12"/>
      <c r="S2" s="12"/>
      <c r="T2" s="12"/>
      <c r="U2" s="12"/>
      <c r="V2" s="12"/>
      <c r="W2" s="12"/>
      <c r="X2" s="12"/>
      <c r="Y2" s="12"/>
    </row>
    <row r="3" spans="1:25" ht="15.75" customHeight="1" x14ac:dyDescent="0.25">
      <c r="A3" s="5" t="s">
        <v>32</v>
      </c>
      <c r="B3" s="81"/>
      <c r="C3" s="81"/>
      <c r="D3" s="81"/>
      <c r="E3" s="81"/>
      <c r="F3" s="81"/>
      <c r="G3" s="81"/>
      <c r="H3" s="81"/>
      <c r="I3" s="81"/>
      <c r="J3" s="81">
        <v>51.7</v>
      </c>
      <c r="K3" s="81">
        <v>59.2</v>
      </c>
      <c r="L3" s="81">
        <v>1820.9</v>
      </c>
      <c r="M3" s="81">
        <v>1865.1</v>
      </c>
      <c r="N3" s="81">
        <v>2147.5</v>
      </c>
      <c r="O3" s="84">
        <f>('Broadcast TV (RV)'!O4)+('Pay &amp; Specialty (RV)'!O3)</f>
        <v>2472.6</v>
      </c>
      <c r="P3" s="160"/>
      <c r="Q3" s="11"/>
      <c r="R3" s="11"/>
      <c r="S3" s="137"/>
      <c r="T3" s="137"/>
      <c r="U3" s="24"/>
      <c r="V3" s="24"/>
      <c r="W3" s="24"/>
      <c r="X3" s="24"/>
      <c r="Y3" s="24"/>
    </row>
    <row r="4" spans="1:25" ht="15.75" customHeight="1" x14ac:dyDescent="0.25">
      <c r="A4" s="5" t="s">
        <v>260</v>
      </c>
      <c r="B4" s="81"/>
      <c r="C4" s="81">
        <f>('Pay &amp; Specialty (RV)'!C4)</f>
        <v>20.100000000000001</v>
      </c>
      <c r="D4" s="81">
        <f>('Pay &amp; Specialty (RV)'!D4)</f>
        <v>78.5</v>
      </c>
      <c r="E4" s="81">
        <f>('Pay &amp; Specialty (RV)'!E4)</f>
        <v>88.9</v>
      </c>
      <c r="F4" s="81">
        <f>('Pay &amp; Specialty (RV)'!F4)</f>
        <v>110.1</v>
      </c>
      <c r="G4" s="81">
        <f>('Pay &amp; Specialty (RV)'!G4)</f>
        <v>131.30000000000001</v>
      </c>
      <c r="H4" s="81">
        <f>('Pay &amp; Specialty (RV)'!H4)</f>
        <v>207.7</v>
      </c>
      <c r="I4" s="81">
        <f>('Pay &amp; Specialty (RV)'!I4)</f>
        <v>370.8</v>
      </c>
      <c r="J4" s="81">
        <f>('Pay &amp; Specialty (RV)'!J4)</f>
        <v>490.9</v>
      </c>
      <c r="K4" s="81">
        <f>('Pay &amp; Specialty (RV)'!K4)</f>
        <v>523.69999999999993</v>
      </c>
      <c r="L4" s="81">
        <f>('Pay &amp; Specialty (RV)'!L4)</f>
        <v>553.9</v>
      </c>
      <c r="M4" s="81">
        <f>('Pay &amp; Specialty (RV)'!M4)</f>
        <v>561.6</v>
      </c>
      <c r="N4" s="81" t="s">
        <v>1</v>
      </c>
      <c r="O4" s="108"/>
      <c r="P4" s="24"/>
      <c r="Q4" s="81"/>
      <c r="R4" s="81"/>
      <c r="S4" s="81"/>
      <c r="T4" s="84"/>
      <c r="U4" s="24"/>
      <c r="V4" s="24"/>
      <c r="W4" s="24"/>
      <c r="X4" s="24"/>
      <c r="Y4" s="24"/>
    </row>
    <row r="5" spans="1:25" ht="15.75" customHeight="1" x14ac:dyDescent="0.25">
      <c r="A5" s="5" t="s">
        <v>289</v>
      </c>
      <c r="B5" s="81"/>
      <c r="C5" s="81"/>
      <c r="D5" s="81"/>
      <c r="E5" s="81"/>
      <c r="F5" s="81"/>
      <c r="G5" s="81"/>
      <c r="H5" s="81"/>
      <c r="I5" s="81"/>
      <c r="J5" s="81">
        <f>('Broadcast TV (RV)'!J5)+('Pay &amp; Specialty (RV)'!J5)</f>
        <v>1515.8000000000002</v>
      </c>
      <c r="K5" s="81">
        <f>('Broadcast TV (RV)'!K5)+('Pay &amp; Specialty (RV)'!K5)</f>
        <v>1691.8000000000002</v>
      </c>
      <c r="L5" s="81" t="s">
        <v>32</v>
      </c>
      <c r="M5" s="81"/>
      <c r="N5" s="81"/>
      <c r="O5" s="108"/>
      <c r="P5" s="24"/>
      <c r="Q5" s="24"/>
      <c r="R5" s="24"/>
      <c r="S5" s="24"/>
      <c r="T5" s="24"/>
      <c r="U5" s="24"/>
      <c r="V5" s="24"/>
      <c r="W5" s="24"/>
      <c r="X5" s="24"/>
      <c r="Y5" s="24"/>
    </row>
    <row r="6" spans="1:25" ht="15.75" customHeight="1" x14ac:dyDescent="0.25">
      <c r="A6" s="5" t="s">
        <v>297</v>
      </c>
      <c r="B6" s="81"/>
      <c r="C6" s="81"/>
      <c r="D6" s="81"/>
      <c r="E6" s="81"/>
      <c r="F6" s="81"/>
      <c r="G6" s="81"/>
      <c r="H6" s="128">
        <f>('Pay &amp; Specialty (RV)'!H6)</f>
        <v>12.3</v>
      </c>
      <c r="I6" s="81">
        <f>('Broadcast TV (RV)'!I6)+('Pay &amp; Specialty (RV)'!I6)</f>
        <v>981.9</v>
      </c>
      <c r="J6" s="81" t="s">
        <v>300</v>
      </c>
      <c r="K6" s="81"/>
      <c r="L6" s="81"/>
      <c r="M6" s="81"/>
      <c r="N6" s="81"/>
      <c r="O6" s="108"/>
      <c r="P6" s="24"/>
      <c r="Q6" s="24"/>
      <c r="R6" s="24"/>
      <c r="S6" s="24"/>
      <c r="T6" s="24"/>
      <c r="U6" s="24"/>
      <c r="V6" s="24"/>
      <c r="W6" s="24"/>
      <c r="X6" s="24"/>
      <c r="Y6" s="24"/>
    </row>
    <row r="7" spans="1:25" ht="15.75" customHeight="1" x14ac:dyDescent="0.25">
      <c r="A7" s="5" t="s">
        <v>304</v>
      </c>
      <c r="B7" s="81">
        <f>('Broadcast TV (RV)'!B7)+('Pay &amp; Specialty (RV)'!B8)</f>
        <v>147.744</v>
      </c>
      <c r="C7" s="81">
        <f>('Broadcast TV (RV)'!C7)+('Pay &amp; Specialty (RV)'!C8)</f>
        <v>228.768</v>
      </c>
      <c r="D7" s="81">
        <f>('Broadcast TV (RV)'!D7)+('Pay &amp; Specialty (RV)'!D8)</f>
        <v>168.672</v>
      </c>
      <c r="E7" s="81">
        <f>('Broadcast TV (RV)'!E7)+('Pay &amp; Specialty (RV)'!E8)</f>
        <v>192.38399999999999</v>
      </c>
      <c r="F7" s="81">
        <f>('Broadcast TV (RV)'!F7)+('Pay &amp; Specialty (RV)'!F8)</f>
        <v>216.19199999999998</v>
      </c>
      <c r="G7" s="81">
        <f>('Broadcast TV (RV)'!G7)+('Pay &amp; Specialty (RV)'!G8)</f>
        <v>474.7</v>
      </c>
      <c r="H7" s="81">
        <f>('Broadcast TV (RV)'!H7)+('Pay &amp; Specialty (RV)'!H8)</f>
        <v>615</v>
      </c>
      <c r="I7" s="128" t="s">
        <v>312</v>
      </c>
      <c r="J7" s="81"/>
      <c r="K7" s="81"/>
      <c r="L7" s="81"/>
      <c r="M7" s="81"/>
      <c r="N7" s="81"/>
      <c r="O7" s="108"/>
      <c r="P7" s="24"/>
      <c r="Q7" s="626" t="s">
        <v>8</v>
      </c>
      <c r="R7" s="623"/>
      <c r="S7" s="623"/>
      <c r="T7" s="623"/>
      <c r="U7" s="623"/>
      <c r="V7" s="623"/>
      <c r="W7" s="623"/>
      <c r="X7" s="24"/>
      <c r="Y7" s="24"/>
    </row>
    <row r="8" spans="1:25" ht="15.75" customHeight="1" x14ac:dyDescent="0.25">
      <c r="A8" s="5" t="s">
        <v>316</v>
      </c>
      <c r="B8" s="81"/>
      <c r="C8" s="81">
        <f>('Pay &amp; Specialty (RV)'!C9)</f>
        <v>31.1</v>
      </c>
      <c r="D8" s="81">
        <f>('Pay &amp; Specialty (RV)'!D9)</f>
        <v>77.900000000000006</v>
      </c>
      <c r="E8" s="81">
        <f>('Pay &amp; Specialty (RV)'!E9)</f>
        <v>95.1</v>
      </c>
      <c r="F8" s="81">
        <f>('Pay &amp; Specialty (RV)'!F9)</f>
        <v>203.6</v>
      </c>
      <c r="G8" s="81">
        <f>('Pay &amp; Specialty (RV)'!G9)</f>
        <v>236.9</v>
      </c>
      <c r="H8" s="81" t="s">
        <v>332</v>
      </c>
      <c r="I8" s="81"/>
      <c r="J8" s="81"/>
      <c r="K8" s="81"/>
      <c r="L8" s="81"/>
      <c r="M8" s="81"/>
      <c r="N8" s="81"/>
      <c r="O8" s="108"/>
      <c r="P8" s="24"/>
      <c r="Q8" s="623"/>
      <c r="R8" s="623"/>
      <c r="S8" s="623"/>
      <c r="T8" s="623"/>
      <c r="U8" s="623"/>
      <c r="V8" s="623"/>
      <c r="W8" s="623"/>
      <c r="X8" s="24"/>
      <c r="Y8" s="24"/>
    </row>
    <row r="9" spans="1:25" ht="15.75" customHeight="1" x14ac:dyDescent="0.25">
      <c r="A9" s="5" t="s">
        <v>335</v>
      </c>
      <c r="B9" s="81">
        <f>('Broadcast TV (RV)'!B8)</f>
        <v>23.8</v>
      </c>
      <c r="C9" s="81">
        <f>('Broadcast TV (RV)'!C8)</f>
        <v>51.4</v>
      </c>
      <c r="D9" s="81">
        <f>('Broadcast TV (RV)'!D8)</f>
        <v>55.8</v>
      </c>
      <c r="E9" s="81">
        <f>('Broadcast TV (RV)'!E8)</f>
        <v>61.3</v>
      </c>
      <c r="F9" s="81">
        <f>('Broadcast TV (RV)'!F8)</f>
        <v>64.2</v>
      </c>
      <c r="G9" s="81" t="s">
        <v>330</v>
      </c>
      <c r="H9" s="81"/>
      <c r="I9" s="81"/>
      <c r="J9" s="81"/>
      <c r="K9" s="81"/>
      <c r="L9" s="81"/>
      <c r="M9" s="81"/>
      <c r="N9" s="81"/>
      <c r="O9" s="108"/>
      <c r="P9" s="24"/>
      <c r="Q9" s="623"/>
      <c r="R9" s="623"/>
      <c r="S9" s="623"/>
      <c r="T9" s="623"/>
      <c r="U9" s="623"/>
      <c r="V9" s="623"/>
      <c r="W9" s="623"/>
      <c r="X9" s="24"/>
      <c r="Y9" s="24"/>
    </row>
    <row r="10" spans="1:25" ht="15.75" customHeight="1" x14ac:dyDescent="0.25">
      <c r="A10" s="5" t="s">
        <v>364</v>
      </c>
      <c r="B10" s="81">
        <f>('Broadcast TV (RV)'!B9)</f>
        <v>14.9</v>
      </c>
      <c r="C10" s="81">
        <f>('Broadcast TV (RV)'!C9)</f>
        <v>17.600000000000001</v>
      </c>
      <c r="D10" s="81">
        <f>('Broadcast TV (RV)'!D9)</f>
        <v>19.7</v>
      </c>
      <c r="E10" s="81">
        <f>('Broadcast TV (RV)'!E9)</f>
        <v>15.1</v>
      </c>
      <c r="F10" s="81">
        <f>('Broadcast TV (RV)'!F9)</f>
        <v>19.8</v>
      </c>
      <c r="G10" s="81" t="s">
        <v>330</v>
      </c>
      <c r="H10" s="81"/>
      <c r="I10" s="81"/>
      <c r="J10" s="81"/>
      <c r="K10" s="81"/>
      <c r="L10" s="81"/>
      <c r="M10" s="81"/>
      <c r="N10" s="81"/>
      <c r="O10" s="108"/>
      <c r="P10" s="24"/>
      <c r="Q10" s="623"/>
      <c r="R10" s="623"/>
      <c r="S10" s="623"/>
      <c r="T10" s="623"/>
      <c r="U10" s="623"/>
      <c r="V10" s="623"/>
      <c r="W10" s="623"/>
      <c r="X10" s="24"/>
      <c r="Y10" s="24"/>
    </row>
    <row r="11" spans="1:25" ht="15.75" customHeight="1" x14ac:dyDescent="0.25">
      <c r="A11" s="5" t="s">
        <v>366</v>
      </c>
      <c r="B11" s="81">
        <f>('Broadcast TV (RV)'!B10)</f>
        <v>15.7</v>
      </c>
      <c r="C11" s="81">
        <f>('Broadcast TV (RV)'!C10)</f>
        <v>17</v>
      </c>
      <c r="D11" s="81">
        <f>('Broadcast TV (RV)'!D10)</f>
        <v>18.399999999999999</v>
      </c>
      <c r="E11" s="81" t="s">
        <v>339</v>
      </c>
      <c r="F11" s="81"/>
      <c r="G11" s="81"/>
      <c r="H11" s="81"/>
      <c r="I11" s="81"/>
      <c r="J11" s="81"/>
      <c r="K11" s="81"/>
      <c r="L11" s="81"/>
      <c r="M11" s="81"/>
      <c r="N11" s="81"/>
      <c r="O11" s="108"/>
      <c r="P11" s="24"/>
      <c r="Q11" s="623"/>
      <c r="R11" s="623"/>
      <c r="S11" s="623"/>
      <c r="T11" s="623"/>
      <c r="U11" s="623"/>
      <c r="V11" s="623"/>
      <c r="W11" s="623"/>
      <c r="X11" s="24"/>
      <c r="Y11" s="24"/>
    </row>
    <row r="12" spans="1:25" ht="15.75" customHeight="1" x14ac:dyDescent="0.25">
      <c r="A12" s="5" t="s">
        <v>369</v>
      </c>
      <c r="B12" s="81">
        <f>('Broadcast TV (RV)'!B11)</f>
        <v>16.3</v>
      </c>
      <c r="C12" s="81">
        <f>('Broadcast TV (RV)'!C11)</f>
        <v>19.2</v>
      </c>
      <c r="D12" s="81" t="s">
        <v>342</v>
      </c>
      <c r="E12" s="81"/>
      <c r="F12" s="81"/>
      <c r="G12" s="81"/>
      <c r="H12" s="81"/>
      <c r="I12" s="81"/>
      <c r="J12" s="81"/>
      <c r="K12" s="81"/>
      <c r="L12" s="81"/>
      <c r="M12" s="81"/>
      <c r="N12" s="81"/>
      <c r="O12" s="108"/>
      <c r="P12" s="24"/>
      <c r="Q12" s="623"/>
      <c r="R12" s="623"/>
      <c r="S12" s="623"/>
      <c r="T12" s="623"/>
      <c r="U12" s="623"/>
      <c r="V12" s="623"/>
      <c r="W12" s="623"/>
      <c r="X12" s="24"/>
      <c r="Y12" s="24"/>
    </row>
    <row r="13" spans="1:25" ht="15.75" customHeight="1" x14ac:dyDescent="0.25">
      <c r="A13" s="5" t="s">
        <v>370</v>
      </c>
      <c r="B13" s="81">
        <f>('Broadcast TV (RV)'!B12)</f>
        <v>4.4000000000000004</v>
      </c>
      <c r="C13" s="81">
        <f>('Broadcast TV (RV)'!C12)</f>
        <v>5.0999999999999996</v>
      </c>
      <c r="D13" s="81" t="s">
        <v>342</v>
      </c>
      <c r="E13" s="81"/>
      <c r="F13" s="81"/>
      <c r="G13" s="81"/>
      <c r="H13" s="81"/>
      <c r="I13" s="81"/>
      <c r="J13" s="81"/>
      <c r="K13" s="81"/>
      <c r="L13" s="81"/>
      <c r="M13" s="81"/>
      <c r="N13" s="81"/>
      <c r="O13" s="108"/>
      <c r="P13" s="24"/>
      <c r="Q13" s="623"/>
      <c r="R13" s="623"/>
      <c r="S13" s="623"/>
      <c r="T13" s="623"/>
      <c r="U13" s="623"/>
      <c r="V13" s="623"/>
      <c r="W13" s="623"/>
      <c r="X13" s="24"/>
      <c r="Y13" s="24"/>
    </row>
    <row r="14" spans="1:25" ht="15.75" customHeight="1" x14ac:dyDescent="0.25">
      <c r="A14" s="5" t="s">
        <v>371</v>
      </c>
      <c r="B14" s="81">
        <f>('Broadcast TV (RV)'!B13)</f>
        <v>5.6</v>
      </c>
      <c r="C14" s="81">
        <f>('Broadcast TV (RV)'!C13)</f>
        <v>6.1</v>
      </c>
      <c r="D14" s="81" t="s">
        <v>342</v>
      </c>
      <c r="E14" s="81"/>
      <c r="F14" s="81"/>
      <c r="G14" s="81"/>
      <c r="H14" s="81"/>
      <c r="I14" s="81"/>
      <c r="J14" s="81"/>
      <c r="K14" s="81"/>
      <c r="L14" s="81"/>
      <c r="M14" s="81"/>
      <c r="N14" s="81"/>
      <c r="O14" s="108"/>
      <c r="P14" s="24"/>
      <c r="Q14" s="623"/>
      <c r="R14" s="623"/>
      <c r="S14" s="623"/>
      <c r="T14" s="623"/>
      <c r="U14" s="623"/>
      <c r="V14" s="623"/>
      <c r="W14" s="623"/>
      <c r="X14" s="24"/>
      <c r="Y14" s="24"/>
    </row>
    <row r="15" spans="1:25" ht="15.75" customHeight="1" x14ac:dyDescent="0.25">
      <c r="A15" s="5" t="s">
        <v>373</v>
      </c>
      <c r="B15" s="81">
        <f>('Broadcast TV (RV)'!B14)</f>
        <v>9</v>
      </c>
      <c r="C15" s="81">
        <f>('Broadcast TV (RV)'!C14)</f>
        <v>10.6</v>
      </c>
      <c r="D15" s="81"/>
      <c r="E15" s="81"/>
      <c r="F15" s="81"/>
      <c r="G15" s="81"/>
      <c r="H15" s="81"/>
      <c r="I15" s="81"/>
      <c r="J15" s="81"/>
      <c r="K15" s="81"/>
      <c r="L15" s="81"/>
      <c r="M15" s="81"/>
      <c r="N15" s="81"/>
      <c r="O15" s="108"/>
      <c r="P15" s="24"/>
      <c r="Q15" s="24"/>
      <c r="R15" s="24"/>
      <c r="S15" s="24"/>
      <c r="T15" s="24"/>
      <c r="U15" s="24"/>
      <c r="V15" s="24"/>
      <c r="W15" s="24"/>
      <c r="X15" s="24"/>
      <c r="Y15" s="24"/>
    </row>
    <row r="16" spans="1:25" ht="15.75" customHeight="1" x14ac:dyDescent="0.25">
      <c r="A16" s="5" t="s">
        <v>376</v>
      </c>
      <c r="B16" s="81">
        <f>('Broadcast TV (RV)'!B15)</f>
        <v>73.900000000000006</v>
      </c>
      <c r="C16" s="81">
        <f>('Broadcast TV (RV)'!C15)+('Pay &amp; Specialty (RV)'!C7)</f>
        <v>113</v>
      </c>
      <c r="D16" s="81">
        <f>('Broadcast TV (RV)'!D15)+('Pay &amp; Specialty (RV)'!D7)</f>
        <v>129</v>
      </c>
      <c r="E16" s="81">
        <f>('Broadcast TV (RV)'!E15)+('Pay &amp; Specialty (RV)'!E7)</f>
        <v>142.4</v>
      </c>
      <c r="F16" s="81">
        <f>('Broadcast TV (RV)'!F15)+('Pay &amp; Specialty (RV)'!F7)</f>
        <v>169.5</v>
      </c>
      <c r="G16" s="81">
        <f>('Broadcast TV (RV)'!G15)+('Pay &amp; Specialty (RV)'!G7)</f>
        <v>212.6</v>
      </c>
      <c r="H16" s="81">
        <f>('Broadcast TV (RV)'!H15)+('Pay &amp; Specialty (RV)'!H7)</f>
        <v>266.35232469999994</v>
      </c>
      <c r="I16" s="81">
        <f>('Broadcast TV (RV)'!I15)+('Pay &amp; Specialty (RV)'!I7)</f>
        <v>449.79999999999995</v>
      </c>
      <c r="J16" s="81" t="s">
        <v>381</v>
      </c>
      <c r="K16" s="81"/>
      <c r="L16" s="81"/>
      <c r="M16" s="81"/>
      <c r="N16" s="81"/>
      <c r="O16" s="108"/>
      <c r="P16" s="24"/>
      <c r="Q16" s="24"/>
      <c r="R16" s="24"/>
      <c r="S16" s="24"/>
      <c r="T16" s="24"/>
      <c r="U16" s="24"/>
      <c r="V16" s="24"/>
      <c r="W16" s="24"/>
      <c r="X16" s="24"/>
      <c r="Y16" s="24"/>
    </row>
    <row r="17" spans="1:25" ht="15.75" customHeight="1" x14ac:dyDescent="0.25">
      <c r="A17" s="5" t="s">
        <v>382</v>
      </c>
      <c r="B17" s="81"/>
      <c r="C17" s="81"/>
      <c r="D17" s="81"/>
      <c r="E17" s="81"/>
      <c r="F17" s="81">
        <f>('Pay &amp; Specialty (RV)'!F10)</f>
        <v>24.6</v>
      </c>
      <c r="G17" s="81">
        <f>('Pay &amp; Specialty (RV)'!G10)</f>
        <v>79.400000000000006</v>
      </c>
      <c r="H17" s="81">
        <f>('Broadcast TV (RV)'!H17)+('Pay &amp; Specialty (RV)'!H10)</f>
        <v>151.30000000000001</v>
      </c>
      <c r="I17" s="81">
        <f>('Broadcast TV (RV)'!I17)+('Pay &amp; Specialty (RV)'!I10)</f>
        <v>348.90000000000003</v>
      </c>
      <c r="J17" s="81">
        <f>('Broadcast TV (RV)'!J17)+('Pay &amp; Specialty (RV)'!J10)</f>
        <v>475.36845</v>
      </c>
      <c r="K17" s="81">
        <f>('Broadcast TV (RV)'!K17)+('Pay &amp; Specialty (RV)'!K10)</f>
        <v>1474.9729500000001</v>
      </c>
      <c r="L17" s="81">
        <f>('Broadcast TV (RV)'!L17)+('Pay &amp; Specialty (RV)'!L10)</f>
        <v>1589.3222700000001</v>
      </c>
      <c r="M17" s="81">
        <f>('Broadcast TV (RV)'!M17)+('Pay &amp; Specialty (RV)'!M10)</f>
        <v>1515.4729500000001</v>
      </c>
      <c r="N17" s="81">
        <f>('Broadcast TV (RV)'!N17)+('Pay &amp; Specialty (RV)'!N10)</f>
        <v>1510.7737480000001</v>
      </c>
      <c r="O17" s="81">
        <f>('Broadcast TV (RV)'!O17)+('Pay &amp; Specialty (RV)'!O10)</f>
        <v>1545.5930656959999</v>
      </c>
      <c r="P17" s="24"/>
      <c r="Q17" s="24"/>
      <c r="R17" s="24"/>
      <c r="S17" s="24"/>
      <c r="T17" s="24"/>
      <c r="U17" s="24"/>
      <c r="V17" s="24"/>
      <c r="W17" s="24"/>
      <c r="X17" s="24"/>
      <c r="Y17" s="24"/>
    </row>
    <row r="18" spans="1:25" ht="15.75" customHeight="1" x14ac:dyDescent="0.25">
      <c r="A18" s="95" t="s">
        <v>238</v>
      </c>
      <c r="B18" s="97"/>
      <c r="C18" s="97"/>
      <c r="D18" s="97"/>
      <c r="E18" s="97"/>
      <c r="F18" s="97"/>
      <c r="G18" s="97"/>
      <c r="H18" s="97"/>
      <c r="I18" s="97">
        <f>('Pay &amp; Specialty (RV)'!I11)</f>
        <v>16.7</v>
      </c>
      <c r="J18" s="97">
        <f>('Pay &amp; Specialty (RV)'!J11)</f>
        <v>62</v>
      </c>
      <c r="K18" s="97">
        <f>('Broadcast TV (RV)'!K18)+('Pay &amp; Specialty (RV)'!K11)</f>
        <v>977.7</v>
      </c>
      <c r="L18" s="97">
        <f>('Broadcast TV (RV)'!L18)+('Pay &amp; Specialty (RV)'!L11)</f>
        <v>1062.0999999999999</v>
      </c>
      <c r="M18" s="97">
        <f>('Broadcast TV (RV)'!M18)+('Pay &amp; Specialty (RV)'!M11)</f>
        <v>994.2</v>
      </c>
      <c r="N18" s="97">
        <f>('Broadcast TV (RV)'!N18)+('Pay &amp; Specialty (RV)'!N11)</f>
        <v>965</v>
      </c>
      <c r="O18" s="97">
        <f>('Broadcast TV (RV)'!O18)+('Pay &amp; Specialty (RV)'!O11)</f>
        <v>987.3</v>
      </c>
      <c r="P18" s="161"/>
      <c r="Q18" s="161"/>
      <c r="R18" s="161"/>
      <c r="S18" s="161"/>
      <c r="T18" s="161"/>
      <c r="U18" s="161"/>
      <c r="V18" s="161"/>
      <c r="W18" s="161"/>
      <c r="X18" s="161"/>
      <c r="Y18" s="161"/>
    </row>
    <row r="19" spans="1:25" ht="15.75" customHeight="1" x14ac:dyDescent="0.25">
      <c r="A19" s="95" t="s">
        <v>270</v>
      </c>
      <c r="B19" s="97"/>
      <c r="C19" s="97"/>
      <c r="D19" s="97"/>
      <c r="E19" s="97"/>
      <c r="F19" s="97">
        <f>('Pay &amp; Specialty (RV)'!F12)</f>
        <v>24.6</v>
      </c>
      <c r="G19" s="97">
        <f>('Pay &amp; Specialty (RV)'!G12)</f>
        <v>79.400000000000006</v>
      </c>
      <c r="H19" s="97">
        <f>('Broadcast TV (RV)'!H19)+('Pay &amp; Specialty (RV)'!H12)</f>
        <v>151.30000000000001</v>
      </c>
      <c r="I19" s="97">
        <f>('Broadcast TV (RV)'!I19)+('Pay &amp; Specialty (RV)'!I12)</f>
        <v>332.20000000000005</v>
      </c>
      <c r="J19" s="97">
        <f>('Broadcast TV (RV)'!J19)+('Pay &amp; Specialty (RV)'!J12)</f>
        <v>413.36845</v>
      </c>
      <c r="K19" s="97">
        <f>('Broadcast TV (RV)'!K19)+('Pay &amp; Specialty (RV)'!K12)</f>
        <v>497.27294999999998</v>
      </c>
      <c r="L19" s="97">
        <f>('Broadcast TV (RV)'!L19)+('Pay &amp; Specialty (RV)'!L12)</f>
        <v>527.22226999999998</v>
      </c>
      <c r="M19" s="97">
        <f>('Broadcast TV (RV)'!M19)+('Pay &amp; Specialty (RV)'!M12)</f>
        <v>521.27295000000004</v>
      </c>
      <c r="N19" s="97">
        <f>('Broadcast TV (RV)'!N19)+('Pay &amp; Specialty (RV)'!N12)</f>
        <v>545.77374799999996</v>
      </c>
      <c r="O19" s="97">
        <f>('Broadcast TV (RV)'!O19)+('Pay &amp; Specialty (RV)'!O12)</f>
        <v>558.29306569599999</v>
      </c>
      <c r="P19" s="161"/>
      <c r="Q19" s="161"/>
      <c r="R19" s="161"/>
      <c r="S19" s="161"/>
      <c r="T19" s="161"/>
      <c r="U19" s="161"/>
      <c r="V19" s="161"/>
      <c r="W19" s="161"/>
      <c r="X19" s="161"/>
      <c r="Y19" s="161"/>
    </row>
    <row r="20" spans="1:25" ht="15.75" customHeight="1" x14ac:dyDescent="0.25">
      <c r="A20" s="5" t="s">
        <v>425</v>
      </c>
      <c r="B20" s="81">
        <f>('Broadcast TV (RV)'!B20)</f>
        <v>84.8</v>
      </c>
      <c r="C20" s="81">
        <f>('Broadcast TV (RV)'!C20)</f>
        <v>141.6</v>
      </c>
      <c r="D20" s="81">
        <f>('Broadcast TV (RV)'!D20)</f>
        <v>212.4</v>
      </c>
      <c r="E20" s="81">
        <f>('Broadcast TV (RV)'!E20)</f>
        <v>243.9</v>
      </c>
      <c r="F20" s="81">
        <f>('Broadcast TV (RV)'!F20)</f>
        <v>325.2</v>
      </c>
      <c r="G20" s="81">
        <f>('Broadcast TV (RV)'!G20)+('Pay &amp; Specialty (RV)'!G13)</f>
        <v>411.4</v>
      </c>
      <c r="H20" s="81">
        <f>('Broadcast TV (RV)'!H20)+('Pay &amp; Specialty (RV)'!H13)</f>
        <v>619.29999999999995</v>
      </c>
      <c r="I20" s="81">
        <f>('Broadcast TV (RV)'!I20)+('Pay &amp; Specialty (RV)'!I13)</f>
        <v>690.30000000000007</v>
      </c>
      <c r="J20" s="81">
        <f>('Broadcast TV (RV)'!J20)+('Pay &amp; Specialty (RV)'!J13)</f>
        <v>1030.7</v>
      </c>
      <c r="K20" s="81" t="s">
        <v>16</v>
      </c>
      <c r="L20" s="81"/>
      <c r="M20" s="81"/>
      <c r="N20" s="81"/>
      <c r="O20" s="108"/>
      <c r="P20" s="24"/>
      <c r="Q20" s="24"/>
      <c r="R20" s="24"/>
      <c r="S20" s="24"/>
      <c r="T20" s="24"/>
      <c r="U20" s="24"/>
      <c r="V20" s="24"/>
      <c r="W20" s="24"/>
      <c r="X20" s="24"/>
      <c r="Y20" s="24"/>
    </row>
    <row r="21" spans="1:25" ht="15.75" customHeight="1" x14ac:dyDescent="0.25">
      <c r="A21" s="5" t="s">
        <v>436</v>
      </c>
      <c r="B21" s="81"/>
      <c r="C21" s="81"/>
      <c r="D21" s="81"/>
      <c r="E21" s="81"/>
      <c r="F21" s="81">
        <f>('Pay &amp; Specialty (RV)'!F14)</f>
        <v>18</v>
      </c>
      <c r="G21" s="81">
        <f>('Pay &amp; Specialty (RV)'!G14)</f>
        <v>77.2</v>
      </c>
      <c r="H21" s="81">
        <f>('Pay &amp; Specialty (RV)'!H14)</f>
        <v>101.3</v>
      </c>
      <c r="I21" s="81">
        <f>('Pay &amp; Specialty (RV)'!I14)</f>
        <v>239.1</v>
      </c>
      <c r="J21" s="81" t="s">
        <v>439</v>
      </c>
      <c r="K21" s="81"/>
      <c r="L21" s="81"/>
      <c r="M21" s="81"/>
      <c r="N21" s="81"/>
      <c r="O21" s="108"/>
      <c r="P21" s="24"/>
      <c r="Q21" s="24"/>
      <c r="R21" s="24"/>
      <c r="S21" s="24"/>
      <c r="T21" s="24"/>
      <c r="U21" s="24"/>
      <c r="V21" s="24"/>
      <c r="W21" s="24"/>
      <c r="X21" s="24"/>
      <c r="Y21" s="24"/>
    </row>
    <row r="22" spans="1:25" ht="15.75" customHeight="1" x14ac:dyDescent="0.25">
      <c r="A22" s="5" t="s">
        <v>441</v>
      </c>
      <c r="B22" s="81"/>
      <c r="C22" s="81"/>
      <c r="D22" s="81">
        <f>('Pay &amp; Specialty (RV)'!D16)</f>
        <v>7.5</v>
      </c>
      <c r="E22" s="81">
        <f>('Pay &amp; Specialty (RV)'!E16)</f>
        <v>8.9</v>
      </c>
      <c r="F22" s="81">
        <f>('Pay &amp; Specialty (RV)'!F16)</f>
        <v>34.700000000000003</v>
      </c>
      <c r="G22" s="81" t="s">
        <v>283</v>
      </c>
      <c r="H22" s="81"/>
      <c r="I22" s="81"/>
      <c r="J22" s="81"/>
      <c r="K22" s="81"/>
      <c r="L22" s="81"/>
      <c r="M22" s="81"/>
      <c r="N22" s="81"/>
      <c r="O22" s="108"/>
      <c r="P22" s="24"/>
      <c r="Q22" s="24"/>
      <c r="R22" s="24"/>
      <c r="S22" s="24"/>
      <c r="T22" s="24"/>
      <c r="U22" s="24"/>
      <c r="V22" s="24"/>
      <c r="W22" s="24"/>
      <c r="X22" s="24"/>
      <c r="Y22" s="24"/>
    </row>
    <row r="23" spans="1:25" ht="15.75" customHeight="1" x14ac:dyDescent="0.25">
      <c r="A23" s="5" t="s">
        <v>444</v>
      </c>
      <c r="B23" s="81">
        <f>('Broadcast TV (RV)'!B21)</f>
        <v>58.4</v>
      </c>
      <c r="C23" s="81">
        <f>('Broadcast TV (RV)'!C21)</f>
        <v>72.5</v>
      </c>
      <c r="D23" s="81">
        <f>('Broadcast TV (RV)'!D21)+('Pay &amp; Specialty (RV)'!D15)</f>
        <v>143.80000000000001</v>
      </c>
      <c r="E23" s="81">
        <f>('Broadcast TV (RV)'!E21)+('Pay &amp; Specialty (RV)'!E15)</f>
        <v>227.5</v>
      </c>
      <c r="F23" s="81">
        <f>('Broadcast TV (RV)'!F21)+('Pay &amp; Specialty (RV)'!F15)</f>
        <v>307.7</v>
      </c>
      <c r="G23" s="81">
        <f>('Broadcast TV (RV)'!G21)+('Pay &amp; Specialty (RV)'!G15)</f>
        <v>394.8</v>
      </c>
      <c r="H23" s="81" t="s">
        <v>448</v>
      </c>
      <c r="I23" s="81"/>
      <c r="J23" s="81"/>
      <c r="K23" s="81"/>
      <c r="L23" s="81"/>
      <c r="M23" s="81"/>
      <c r="N23" s="81"/>
      <c r="O23" s="108"/>
      <c r="P23" s="24"/>
      <c r="Q23" s="24"/>
      <c r="R23" s="24"/>
      <c r="S23" s="24"/>
      <c r="T23" s="24"/>
      <c r="U23" s="24"/>
      <c r="V23" s="24"/>
      <c r="W23" s="24"/>
      <c r="X23" s="24"/>
      <c r="Y23" s="24"/>
    </row>
    <row r="24" spans="1:25" ht="15.75" customHeight="1" x14ac:dyDescent="0.25">
      <c r="A24" s="5" t="s">
        <v>449</v>
      </c>
      <c r="B24" s="81"/>
      <c r="C24" s="81">
        <f>('Pay &amp; Specialty (RV)'!C17)</f>
        <v>18.7</v>
      </c>
      <c r="D24" s="81">
        <f>('Pay &amp; Specialty (RV)'!D17)</f>
        <v>19.100000000000001</v>
      </c>
      <c r="E24" s="81" t="s">
        <v>285</v>
      </c>
      <c r="F24" s="81"/>
      <c r="G24" s="81"/>
      <c r="H24" s="81"/>
      <c r="I24" s="81"/>
      <c r="J24" s="81"/>
      <c r="K24" s="81"/>
      <c r="L24" s="81"/>
      <c r="M24" s="81"/>
      <c r="N24" s="81"/>
      <c r="O24" s="108"/>
      <c r="P24" s="24"/>
      <c r="Q24" s="24"/>
      <c r="R24" s="24"/>
      <c r="S24" s="24"/>
      <c r="T24" s="24"/>
      <c r="U24" s="24"/>
      <c r="V24" s="24"/>
      <c r="W24" s="24"/>
      <c r="X24" s="24"/>
      <c r="Y24" s="24"/>
    </row>
    <row r="25" spans="1:25" ht="15.75" customHeight="1" x14ac:dyDescent="0.25">
      <c r="A25" s="5" t="s">
        <v>452</v>
      </c>
      <c r="B25" s="81">
        <f>('Broadcast TV (RV)'!B3)</f>
        <v>810.91</v>
      </c>
      <c r="C25" s="81">
        <f>('Broadcast TV (RV)'!C3)</f>
        <v>982.30399999999997</v>
      </c>
      <c r="D25" s="81">
        <f>('Broadcast TV (RV)'!D3)+('Pay &amp; Specialty (RV)'!D19)</f>
        <v>1062.9479999999999</v>
      </c>
      <c r="E25" s="81">
        <f>('Broadcast TV (RV)'!E3)+('Pay &amp; Specialty (RV)'!E19)</f>
        <v>1058.2199999999998</v>
      </c>
      <c r="F25" s="81">
        <f>('Broadcast TV (RV)'!F3)+('Pay &amp; Specialty (RV)'!F19)</f>
        <v>1116.4099999999999</v>
      </c>
      <c r="G25" s="81">
        <f>('Broadcast TV (RV)'!G3)+('Pay &amp; Specialty (RV)'!G19)</f>
        <v>1196.75</v>
      </c>
      <c r="H25" s="81">
        <f>('Broadcast TV (RV)'!H3)+('Pay &amp; Specialty (RV)'!H19)</f>
        <v>1255.8899999999999</v>
      </c>
      <c r="I25" s="81">
        <f>('Broadcast TV (RV)'!I3)+('Pay &amp; Specialty (RV)'!I19)</f>
        <v>1230.25</v>
      </c>
      <c r="J25" s="81">
        <f>('Broadcast TV (RV)'!J3)+('Pay &amp; Specialty (RV)'!J19)</f>
        <v>1386.9</v>
      </c>
      <c r="K25" s="81">
        <f>('Broadcast TV (RV)'!K3)+('Pay &amp; Specialty (RV)'!K19)</f>
        <v>1425.3</v>
      </c>
      <c r="L25" s="81">
        <f>('Broadcast TV (RV)'!L3)+('Pay &amp; Specialty (RV)'!L19)</f>
        <v>1498.3</v>
      </c>
      <c r="M25" s="81">
        <f>('Broadcast TV (RV)'!M3)+('Pay &amp; Specialty (RV)'!M19)</f>
        <v>1537.1</v>
      </c>
      <c r="N25" s="81">
        <f>('Broadcast TV (RV)'!N3)+('Pay &amp; Specialty (RV)'!N19)</f>
        <v>1407.8000000000002</v>
      </c>
      <c r="O25" s="81">
        <f>('Broadcast TV (RV)'!O3)+('Pay &amp; Specialty (RV)'!O19)</f>
        <v>1428.4</v>
      </c>
      <c r="P25" s="24"/>
      <c r="Q25" s="24"/>
      <c r="R25" s="24"/>
      <c r="S25" s="160"/>
      <c r="T25" s="24"/>
      <c r="U25" s="24"/>
      <c r="V25" s="24"/>
      <c r="W25" s="24"/>
      <c r="X25" s="24"/>
      <c r="Y25" s="24"/>
    </row>
    <row r="26" spans="1:25" ht="15.75" customHeight="1" x14ac:dyDescent="0.25">
      <c r="A26" s="5" t="s">
        <v>467</v>
      </c>
      <c r="B26" s="81">
        <f>('Broadcast TV (RV)'!B22)</f>
        <v>15.7</v>
      </c>
      <c r="C26" s="81">
        <f>('Broadcast TV (RV)'!C22)+('Pay &amp; Specialty (RV)'!C18)</f>
        <v>61.8</v>
      </c>
      <c r="D26" s="81">
        <f>('Broadcast TV (RV)'!D22)+('Pay &amp; Specialty (RV)'!D18)</f>
        <v>91.3</v>
      </c>
      <c r="E26" s="81">
        <f>('Broadcast TV (RV)'!E22)+('Pay &amp; Specialty (RV)'!E18)</f>
        <v>88.699999999999989</v>
      </c>
      <c r="F26" s="81">
        <f>('Broadcast TV (RV)'!F22)+('Pay &amp; Specialty (RV)'!F18)</f>
        <v>169.4</v>
      </c>
      <c r="G26" s="81">
        <f>('Broadcast TV (RV)'!G22)+('Pay &amp; Specialty (RV)'!G18)</f>
        <v>98</v>
      </c>
      <c r="H26" s="81">
        <f>('Broadcast TV (RV)'!H22)+('Pay &amp; Specialty (RV)'!H18)</f>
        <v>151.30000000000001</v>
      </c>
      <c r="I26" s="81">
        <f>('Broadcast TV (RV)'!I22)+('Pay &amp; Specialty (RV)'!I18)</f>
        <v>185.60000000000002</v>
      </c>
      <c r="J26" s="81">
        <f>('Broadcast TV (RV)'!J22)+('Pay &amp; Specialty (RV)'!J18)</f>
        <v>483</v>
      </c>
      <c r="K26" s="81">
        <f>('Broadcast TV (RV)'!K22)+('Pay &amp; Specialty (RV)'!K18)</f>
        <v>606.20000000000005</v>
      </c>
      <c r="L26" s="81">
        <f>('Broadcast TV (RV)'!L22)+('Pay &amp; Specialty (RV)'!L18)</f>
        <v>719.3</v>
      </c>
      <c r="M26" s="81">
        <f>('Broadcast TV (RV)'!M22)+('Pay &amp; Specialty (RV)'!M18)</f>
        <v>743.4</v>
      </c>
      <c r="N26" s="81">
        <f>('Broadcast TV (RV)'!N22)+('Pay &amp; Specialty (RV)'!N18)</f>
        <v>743.3</v>
      </c>
      <c r="O26" s="81">
        <f>('Broadcast TV (RV)'!O22)+('Pay &amp; Specialty (RV)'!O18)</f>
        <v>744.9</v>
      </c>
      <c r="P26" s="24"/>
      <c r="Q26" s="24"/>
      <c r="R26" s="288"/>
      <c r="S26" s="289"/>
      <c r="T26" s="288"/>
      <c r="U26" s="288"/>
      <c r="V26" s="24"/>
      <c r="W26" s="24"/>
      <c r="X26" s="24"/>
      <c r="Y26" s="24"/>
    </row>
    <row r="27" spans="1:25" ht="15.75" customHeight="1" x14ac:dyDescent="0.25">
      <c r="A27" s="5" t="s">
        <v>493</v>
      </c>
      <c r="B27" s="81">
        <f>('Broadcast TV (RV)'!B23)</f>
        <v>34.750699999999995</v>
      </c>
      <c r="C27" s="81">
        <f>('Broadcast TV (RV)'!C23)</f>
        <v>48.085200000000007</v>
      </c>
      <c r="D27" s="81">
        <f>('Broadcast TV (RV)'!D23)</f>
        <v>51.215400000000002</v>
      </c>
      <c r="E27" s="81">
        <f>('Broadcast TV (RV)'!E23)</f>
        <v>67.009177668162323</v>
      </c>
      <c r="F27" s="81" t="s">
        <v>145</v>
      </c>
      <c r="G27" s="81"/>
      <c r="H27" s="81"/>
      <c r="I27" s="81"/>
      <c r="J27" s="81"/>
      <c r="K27" s="81"/>
      <c r="L27" s="81"/>
      <c r="M27" s="81"/>
      <c r="N27" s="81"/>
      <c r="O27" s="108"/>
      <c r="P27" s="24"/>
      <c r="Q27" s="24"/>
      <c r="R27" s="292"/>
      <c r="S27" s="292"/>
      <c r="T27" s="292"/>
      <c r="U27" s="292"/>
      <c r="V27" s="24"/>
      <c r="W27" s="24"/>
      <c r="X27" s="24"/>
      <c r="Y27" s="24"/>
    </row>
    <row r="28" spans="1:25" ht="15.75" customHeight="1" x14ac:dyDescent="0.25">
      <c r="A28" s="5" t="s">
        <v>504</v>
      </c>
      <c r="B28" s="293">
        <v>95.5</v>
      </c>
      <c r="C28" s="293">
        <v>122.8</v>
      </c>
      <c r="D28" s="81"/>
      <c r="E28" s="81"/>
      <c r="F28" s="81"/>
      <c r="G28" s="81"/>
      <c r="H28" s="81"/>
      <c r="I28" s="81"/>
      <c r="J28" s="81"/>
      <c r="K28" s="81"/>
      <c r="L28" s="81"/>
      <c r="M28" s="81"/>
      <c r="N28" s="81"/>
      <c r="O28" s="108"/>
      <c r="P28" s="24"/>
      <c r="Q28" s="24"/>
      <c r="R28" s="24"/>
      <c r="S28" s="24"/>
      <c r="T28" s="24"/>
      <c r="U28" s="24"/>
      <c r="V28" s="24"/>
      <c r="W28" s="24"/>
      <c r="X28" s="24"/>
      <c r="Y28" s="24"/>
    </row>
    <row r="29" spans="1:25" ht="15.75" customHeight="1" x14ac:dyDescent="0.25">
      <c r="A29" s="5" t="s">
        <v>510</v>
      </c>
      <c r="B29" s="81"/>
      <c r="C29" s="81"/>
      <c r="D29" s="81"/>
      <c r="E29" s="81"/>
      <c r="F29" s="81"/>
      <c r="G29" s="81">
        <f>('Pay &amp; Specialty (RV)'!G20)</f>
        <v>6.2</v>
      </c>
      <c r="H29" s="81">
        <f>('Broadcast TV (RV)'!H25)+('Pay &amp; Specialty (RV)'!H20)</f>
        <v>233.20000000000002</v>
      </c>
      <c r="I29" s="81">
        <f>('Broadcast TV (RV)'!I25)+('Pay &amp; Specialty (RV)'!I20)</f>
        <v>271.2</v>
      </c>
      <c r="J29" s="81">
        <f>('Broadcast TV (RV)'!J25)+('Pay &amp; Specialty (RV)'!J20)</f>
        <v>342.90000000000003</v>
      </c>
      <c r="K29" s="81">
        <f>('Broadcast TV (RV)'!K25)+('Pay &amp; Specialty (RV)'!K20)</f>
        <v>377.3</v>
      </c>
      <c r="L29" s="81">
        <f>('Broadcast TV (RV)'!L25)+('Pay &amp; Specialty (RV)'!L20)</f>
        <v>378.9</v>
      </c>
      <c r="M29" s="81">
        <f>('Broadcast TV (RV)'!M25)+('Pay &amp; Specialty (RV)'!M20)</f>
        <v>389.5</v>
      </c>
      <c r="N29" s="81">
        <f>('Broadcast TV (RV)'!N25)+('Pay &amp; Specialty (RV)'!N20)</f>
        <v>380.1</v>
      </c>
      <c r="O29" s="81">
        <f>('Broadcast TV (RV)'!O25)+('Pay &amp; Specialty (RV)'!O20)</f>
        <v>392.3</v>
      </c>
      <c r="P29" s="24"/>
      <c r="Q29" s="24"/>
      <c r="R29" s="24"/>
      <c r="S29" s="24"/>
      <c r="T29" s="24"/>
      <c r="U29" s="24"/>
      <c r="V29" s="24"/>
      <c r="W29" s="24"/>
      <c r="X29" s="24"/>
      <c r="Y29" s="24"/>
    </row>
    <row r="30" spans="1:25" ht="15.75" customHeight="1" x14ac:dyDescent="0.25">
      <c r="A30" s="5" t="s">
        <v>530</v>
      </c>
      <c r="B30" s="81">
        <f>('Broadcast TV (RV)'!B26)</f>
        <v>89.3</v>
      </c>
      <c r="C30" s="81">
        <f>('Broadcast TV (RV)'!C26)</f>
        <v>100.9</v>
      </c>
      <c r="D30" s="81">
        <f>('Broadcast TV (RV)'!D26)</f>
        <v>138.69999999999999</v>
      </c>
      <c r="E30" s="81">
        <f>('Broadcast TV (RV)'!E26)</f>
        <v>167</v>
      </c>
      <c r="F30" s="81">
        <f>('Broadcast TV (RV)'!F26)+('Pay &amp; Specialty (RV)'!F22)</f>
        <v>211.2</v>
      </c>
      <c r="G30" s="81">
        <f>('Broadcast TV (RV)'!G26)+('Pay &amp; Specialty (RV)'!G22)</f>
        <v>247.10000000000002</v>
      </c>
      <c r="H30" s="81" t="s">
        <v>294</v>
      </c>
      <c r="I30" s="81"/>
      <c r="J30" s="81"/>
      <c r="K30" s="81"/>
      <c r="L30" s="81"/>
      <c r="M30" s="81"/>
      <c r="N30" s="81"/>
      <c r="O30" s="108"/>
      <c r="P30" s="24"/>
      <c r="Q30" s="24"/>
      <c r="R30" s="24"/>
      <c r="S30" s="24"/>
      <c r="T30" s="24"/>
      <c r="U30" s="24"/>
      <c r="V30" s="24"/>
      <c r="W30" s="24"/>
      <c r="X30" s="24"/>
      <c r="Y30" s="24"/>
    </row>
    <row r="31" spans="1:25" ht="15.75" customHeight="1" x14ac:dyDescent="0.25">
      <c r="A31" s="5" t="s">
        <v>535</v>
      </c>
      <c r="B31" s="81">
        <f>('Broadcast TV (RV)'!B27)</f>
        <v>84.8</v>
      </c>
      <c r="C31" s="81" t="s">
        <v>399</v>
      </c>
      <c r="D31" s="81"/>
      <c r="E31" s="81"/>
      <c r="F31" s="81"/>
      <c r="G31" s="81"/>
      <c r="H31" s="81"/>
      <c r="I31" s="81"/>
      <c r="J31" s="81"/>
      <c r="K31" s="81"/>
      <c r="L31" s="81"/>
      <c r="M31" s="81"/>
      <c r="N31" s="81"/>
      <c r="O31" s="108"/>
      <c r="P31" s="24"/>
      <c r="Q31" s="24"/>
      <c r="R31" s="24"/>
      <c r="S31" s="24"/>
      <c r="T31" s="24"/>
      <c r="U31" s="24"/>
      <c r="V31" s="24"/>
      <c r="W31" s="24"/>
      <c r="X31" s="24"/>
      <c r="Y31" s="24"/>
    </row>
    <row r="32" spans="1:25" ht="15.75" customHeight="1" x14ac:dyDescent="0.25">
      <c r="A32" s="5" t="s">
        <v>536</v>
      </c>
      <c r="B32" s="81">
        <f>('Broadcast TV (RV)'!B28)</f>
        <v>17</v>
      </c>
      <c r="C32" s="81">
        <f>('Broadcast TV (RV)'!C28)</f>
        <v>20</v>
      </c>
      <c r="D32" s="81" t="s">
        <v>403</v>
      </c>
      <c r="E32" s="81"/>
      <c r="F32" s="81"/>
      <c r="G32" s="81"/>
      <c r="H32" s="81"/>
      <c r="I32" s="81"/>
      <c r="J32" s="81"/>
      <c r="K32" s="81"/>
      <c r="L32" s="81"/>
      <c r="M32" s="81"/>
      <c r="N32" s="81"/>
      <c r="O32" s="108"/>
      <c r="P32" s="24"/>
      <c r="Q32" s="24"/>
      <c r="R32" s="24"/>
      <c r="S32" s="24"/>
      <c r="T32" s="24"/>
      <c r="U32" s="24"/>
      <c r="V32" s="24"/>
      <c r="W32" s="24"/>
      <c r="X32" s="24"/>
      <c r="Y32" s="24"/>
    </row>
    <row r="33" spans="1:25" ht="15.75" customHeight="1" x14ac:dyDescent="0.25">
      <c r="A33" s="5" t="s">
        <v>404</v>
      </c>
      <c r="B33" s="81"/>
      <c r="C33" s="81"/>
      <c r="D33" s="81"/>
      <c r="E33" s="81"/>
      <c r="F33" s="81"/>
      <c r="G33" s="81"/>
      <c r="H33" s="81"/>
      <c r="I33" s="81"/>
      <c r="J33" s="302">
        <f>('Broadcast TV (RV)'!J29)</f>
        <v>97.7</v>
      </c>
      <c r="K33" s="302">
        <f>('Broadcast TV (RV)'!K29)</f>
        <v>61.9</v>
      </c>
      <c r="L33" s="302">
        <f>('Broadcast TV (RV)'!L29)</f>
        <v>66.5</v>
      </c>
      <c r="M33" s="302">
        <f>('Broadcast TV (RV)'!M29)</f>
        <v>73.2</v>
      </c>
      <c r="N33" s="302">
        <f>('Broadcast TV (RV)'!N29)</f>
        <v>76.900000000000006</v>
      </c>
      <c r="O33" s="302">
        <f>('Broadcast TV (RV)'!O29)</f>
        <v>44.4</v>
      </c>
      <c r="P33" s="24"/>
      <c r="Q33" s="24"/>
      <c r="R33" s="24"/>
      <c r="S33" s="24"/>
      <c r="T33" s="24"/>
      <c r="U33" s="24"/>
      <c r="V33" s="24"/>
      <c r="W33" s="24"/>
      <c r="X33" s="24"/>
      <c r="Y33" s="24"/>
    </row>
    <row r="34" spans="1:25" ht="15.75" customHeight="1" x14ac:dyDescent="0.25">
      <c r="A34" s="5" t="s">
        <v>414</v>
      </c>
      <c r="B34" s="81"/>
      <c r="C34" s="81"/>
      <c r="D34" s="81"/>
      <c r="E34" s="81"/>
      <c r="F34" s="81"/>
      <c r="G34" s="81"/>
      <c r="H34" s="81"/>
      <c r="I34" s="81"/>
      <c r="J34" s="81"/>
      <c r="K34" s="81"/>
      <c r="L34" s="81"/>
      <c r="M34" s="302">
        <f>('Broadcast TV (RV)'!M33)</f>
        <v>62</v>
      </c>
      <c r="N34" s="302">
        <f>('Broadcast TV (RV)'!N33)</f>
        <v>58.9</v>
      </c>
      <c r="O34" s="302">
        <f>('Broadcast TV (RV)'!O33)</f>
        <v>58.605499999999999</v>
      </c>
      <c r="P34" s="24"/>
      <c r="Q34" s="24"/>
      <c r="R34" s="24"/>
      <c r="S34" s="24"/>
      <c r="T34" s="24"/>
      <c r="U34" s="24"/>
      <c r="V34" s="24"/>
      <c r="W34" s="24"/>
      <c r="X34" s="24"/>
      <c r="Y34" s="24"/>
    </row>
    <row r="35" spans="1:25" ht="15.75" customHeight="1" x14ac:dyDescent="0.25">
      <c r="A35" s="5" t="s">
        <v>295</v>
      </c>
      <c r="B35" s="81"/>
      <c r="C35" s="81"/>
      <c r="D35" s="81">
        <f>('Pay &amp; Specialty (RV)'!D23)</f>
        <v>14.4</v>
      </c>
      <c r="E35" s="81">
        <f>('Pay &amp; Specialty (RV)'!E23)</f>
        <v>17.8</v>
      </c>
      <c r="F35" s="81">
        <f>('Pay &amp; Specialty (RV)'!F23)</f>
        <v>24.7</v>
      </c>
      <c r="G35" s="81">
        <f>('Pay &amp; Specialty (RV)'!G23)</f>
        <v>28.4</v>
      </c>
      <c r="H35" s="81">
        <f>('Pay &amp; Specialty (RV)'!H23)</f>
        <v>32.200000000000003</v>
      </c>
      <c r="I35" s="81">
        <f>('Pay &amp; Specialty (RV)'!I23)</f>
        <v>39.299999999999997</v>
      </c>
      <c r="J35" s="81">
        <f>('Pay &amp; Specialty (RV)'!J23)</f>
        <v>49.3</v>
      </c>
      <c r="K35" s="81">
        <f>('Pay &amp; Specialty (RV)'!K23)</f>
        <v>47</v>
      </c>
      <c r="L35" s="81">
        <f>('Pay &amp; Specialty (RV)'!L23)</f>
        <v>49.1</v>
      </c>
      <c r="M35" s="81">
        <f>('Pay &amp; Specialty (RV)'!M23)</f>
        <v>50.4</v>
      </c>
      <c r="N35" s="81">
        <f>('Pay &amp; Specialty (RV)'!N23)</f>
        <v>50.8</v>
      </c>
      <c r="O35" s="81">
        <f>('Pay &amp; Specialty (RV)'!O23)</f>
        <v>47.5</v>
      </c>
      <c r="P35" s="24"/>
      <c r="Q35" s="24"/>
      <c r="R35" s="24"/>
      <c r="S35" s="24"/>
      <c r="T35" s="24"/>
      <c r="U35" s="24"/>
      <c r="V35" s="24"/>
      <c r="W35" s="24"/>
      <c r="X35" s="24"/>
      <c r="Y35" s="24"/>
    </row>
    <row r="36" spans="1:25" ht="15.75" customHeight="1" x14ac:dyDescent="0.25">
      <c r="A36" s="5" t="s">
        <v>566</v>
      </c>
      <c r="B36" s="302">
        <f>('Broadcast TV (RV)'!B34)</f>
        <v>7</v>
      </c>
      <c r="C36" s="302">
        <f>('Broadcast TV (RV)'!C34)</f>
        <v>11.5</v>
      </c>
      <c r="D36" s="302">
        <f>('Broadcast TV (RV)'!D34)</f>
        <v>13.9</v>
      </c>
      <c r="E36" s="302">
        <f>('Broadcast TV (RV)'!E34)</f>
        <v>15.9</v>
      </c>
      <c r="F36" s="302">
        <f>('Broadcast TV (RV)'!F34)</f>
        <v>17.399999999999999</v>
      </c>
      <c r="G36" s="302">
        <f>('Broadcast TV (RV)'!G34)</f>
        <v>17.600000000000001</v>
      </c>
      <c r="H36" s="302">
        <f>('Broadcast TV (RV)'!H34)</f>
        <v>21.4</v>
      </c>
      <c r="I36" s="302">
        <f>('Broadcast TV (RV)'!I34)</f>
        <v>32.5</v>
      </c>
      <c r="J36" s="302">
        <f>('Broadcast TV (RV)'!J34)</f>
        <v>34.1</v>
      </c>
      <c r="K36" s="302">
        <f>('Broadcast TV (RV)'!K34)</f>
        <v>38.1</v>
      </c>
      <c r="L36" s="302">
        <f>('Broadcast TV (RV)'!L34)</f>
        <v>39.1</v>
      </c>
      <c r="M36" s="302">
        <f>('Broadcast TV (RV)'!M34)</f>
        <v>40.1</v>
      </c>
      <c r="N36" s="302">
        <f>('Broadcast TV (RV)'!N34)</f>
        <v>39.899500000000003</v>
      </c>
      <c r="O36" s="302">
        <f>('Broadcast TV (RV)'!O34)</f>
        <v>38.1</v>
      </c>
      <c r="P36" s="24"/>
      <c r="Q36" s="24"/>
      <c r="R36" s="24"/>
      <c r="S36" s="24"/>
      <c r="T36" s="24"/>
      <c r="U36" s="24"/>
      <c r="V36" s="24"/>
      <c r="W36" s="24"/>
      <c r="X36" s="24"/>
      <c r="Y36" s="24"/>
    </row>
    <row r="37" spans="1:25" ht="15.75" customHeight="1" x14ac:dyDescent="0.25">
      <c r="A37" s="5" t="s">
        <v>298</v>
      </c>
      <c r="B37" s="81"/>
      <c r="C37" s="81"/>
      <c r="D37" s="81"/>
      <c r="E37" s="81"/>
      <c r="F37" s="81"/>
      <c r="G37" s="81"/>
      <c r="H37" s="81"/>
      <c r="I37" s="81"/>
      <c r="J37" s="81"/>
      <c r="K37" s="81">
        <f>('Pay &amp; Specialty (RV)'!K25)</f>
        <v>22.8</v>
      </c>
      <c r="L37" s="81">
        <f>('Pay &amp; Specialty (RV)'!L25)</f>
        <v>25.9</v>
      </c>
      <c r="M37" s="81">
        <f>('Pay &amp; Specialty (RV)'!M25)</f>
        <v>28.6</v>
      </c>
      <c r="N37" s="81">
        <f>('Pay &amp; Specialty (RV)'!N25)</f>
        <v>33.5</v>
      </c>
      <c r="O37" s="81">
        <f>('Pay &amp; Specialty (RV)'!O25)</f>
        <v>33.78</v>
      </c>
      <c r="P37" s="24"/>
      <c r="Q37" s="24"/>
      <c r="R37" s="24"/>
      <c r="S37" s="24"/>
      <c r="T37" s="24"/>
      <c r="U37" s="24"/>
      <c r="V37" s="24"/>
      <c r="W37" s="24"/>
      <c r="X37" s="24"/>
      <c r="Y37" s="24"/>
    </row>
    <row r="38" spans="1:25" ht="15.75" customHeight="1" x14ac:dyDescent="0.25">
      <c r="A38" s="5" t="s">
        <v>574</v>
      </c>
      <c r="B38" s="81"/>
      <c r="C38" s="81">
        <f>('Pay &amp; Specialty (RV)'!C24)</f>
        <v>2.2000000000000002</v>
      </c>
      <c r="D38" s="81">
        <f>('Pay &amp; Specialty (RV)'!D24)</f>
        <v>3.9</v>
      </c>
      <c r="E38" s="81">
        <f>('Pay &amp; Specialty (RV)'!E24)</f>
        <v>3.7</v>
      </c>
      <c r="F38" s="81">
        <f>('Pay &amp; Specialty (RV)'!F24)</f>
        <v>15.1</v>
      </c>
      <c r="G38" s="81">
        <f>('Pay &amp; Specialty (RV)'!G24)</f>
        <v>19.100000000000001</v>
      </c>
      <c r="H38" s="81">
        <f>('Pay &amp; Specialty (RV)'!H24)</f>
        <v>22.1</v>
      </c>
      <c r="I38" s="81">
        <f>('Pay &amp; Specialty (RV)'!I24)</f>
        <v>24.6</v>
      </c>
      <c r="J38" s="81">
        <f>('Pay &amp; Specialty (RV)'!J24)</f>
        <v>28.8</v>
      </c>
      <c r="K38" s="81">
        <f>('Pay &amp; Specialty (RV)'!K24)</f>
        <v>35.200000000000003</v>
      </c>
      <c r="L38" s="81">
        <f>('Pay &amp; Specialty (RV)'!L24)</f>
        <v>35.700000000000003</v>
      </c>
      <c r="M38" s="81">
        <f>('Pay &amp; Specialty (RV)'!M24)</f>
        <v>36</v>
      </c>
      <c r="N38" s="81">
        <f>('Pay &amp; Specialty (RV)'!N24)</f>
        <v>32.9</v>
      </c>
      <c r="O38" s="81">
        <f>('Pay &amp; Specialty (RV)'!O24)</f>
        <v>31.1</v>
      </c>
      <c r="P38" s="24"/>
      <c r="Q38" s="24"/>
      <c r="R38" s="24"/>
      <c r="S38" s="24"/>
      <c r="T38" s="24"/>
      <c r="U38" s="24"/>
      <c r="V38" s="24"/>
      <c r="W38" s="24"/>
      <c r="X38" s="24"/>
      <c r="Y38" s="24"/>
    </row>
    <row r="39" spans="1:25" ht="15.75" customHeight="1" x14ac:dyDescent="0.25">
      <c r="A39" s="5" t="s">
        <v>579</v>
      </c>
      <c r="B39" s="81"/>
      <c r="C39" s="302"/>
      <c r="D39" s="302"/>
      <c r="E39" s="302"/>
      <c r="F39" s="302"/>
      <c r="G39" s="302">
        <f>('Broadcast TV (RV)'!G16)+('Pay &amp; Specialty (RV)'!G21)</f>
        <v>34</v>
      </c>
      <c r="H39" s="302">
        <f>('Broadcast TV (RV)'!H16)+('Pay &amp; Specialty (RV)'!H21)</f>
        <v>46</v>
      </c>
      <c r="I39" s="302">
        <f>('Broadcast TV (RV)'!I16)+('Pay &amp; Specialty (RV)'!I21)</f>
        <v>63.4</v>
      </c>
      <c r="J39" s="81" t="s">
        <v>580</v>
      </c>
      <c r="K39" s="81"/>
      <c r="L39" s="81"/>
      <c r="M39" s="81"/>
      <c r="N39" s="81"/>
      <c r="O39" s="108"/>
      <c r="P39" s="24"/>
      <c r="Q39" s="24"/>
      <c r="R39" s="24"/>
      <c r="S39" s="24"/>
      <c r="T39" s="24"/>
      <c r="U39" s="24"/>
      <c r="V39" s="24"/>
      <c r="W39" s="24"/>
      <c r="X39" s="24"/>
      <c r="Y39" s="24"/>
    </row>
    <row r="40" spans="1:25" ht="15.75" customHeight="1" x14ac:dyDescent="0.25">
      <c r="A40" s="5" t="s">
        <v>581</v>
      </c>
      <c r="B40" s="81"/>
      <c r="C40" s="81"/>
      <c r="D40" s="81"/>
      <c r="E40" s="81"/>
      <c r="F40" s="81"/>
      <c r="G40" s="81">
        <f>('Broadcast TV (RV)'!G30)</f>
        <v>29.3</v>
      </c>
      <c r="H40" s="81">
        <f>('Broadcast TV (RV)'!H30)</f>
        <v>37.200000000000003</v>
      </c>
      <c r="I40" s="81">
        <f>('Broadcast TV (RV)'!I30)</f>
        <v>113</v>
      </c>
      <c r="J40" s="81" t="str">
        <f>('Broadcast TV (RV)'!J30)</f>
        <v>Remstar</v>
      </c>
      <c r="K40" s="81" t="s">
        <v>584</v>
      </c>
      <c r="L40" s="81">
        <f>('Pay &amp; Specialty (RV)'!L26)</f>
        <v>19.3</v>
      </c>
      <c r="M40" s="81">
        <f>('Pay &amp; Specialty (RV)'!M26)</f>
        <v>21.4</v>
      </c>
      <c r="N40" s="81">
        <f>('Pay &amp; Specialty (RV)'!N26)</f>
        <v>19.7</v>
      </c>
      <c r="O40" s="81">
        <f>('Pay &amp; Specialty (RV)'!O26)</f>
        <v>17.600000000000001</v>
      </c>
      <c r="P40" s="24"/>
      <c r="Q40" s="24"/>
      <c r="R40" s="24"/>
      <c r="S40" s="24"/>
      <c r="T40" s="24"/>
      <c r="U40" s="24"/>
      <c r="V40" s="24"/>
      <c r="W40" s="24"/>
      <c r="X40" s="24"/>
      <c r="Y40" s="24"/>
    </row>
    <row r="41" spans="1:25" ht="15.75" customHeight="1" x14ac:dyDescent="0.25">
      <c r="A41" s="5" t="s">
        <v>586</v>
      </c>
      <c r="B41" s="81">
        <f>('Broadcast TV (RV)'!B32)</f>
        <v>55.4</v>
      </c>
      <c r="C41" s="81">
        <f>('Broadcast TV (RV)'!C32)</f>
        <v>67.400000000000006</v>
      </c>
      <c r="D41" s="81">
        <f>('Broadcast TV (RV)'!D32)</f>
        <v>118.3</v>
      </c>
      <c r="E41" s="81">
        <f>('Broadcast TV (RV)'!E32)</f>
        <v>105.5</v>
      </c>
      <c r="F41" s="81">
        <f>('Broadcast TV (RV)'!F32)</f>
        <v>65.099999999999994</v>
      </c>
      <c r="G41" s="81" t="s">
        <v>588</v>
      </c>
      <c r="H41" s="81"/>
      <c r="I41" s="81"/>
      <c r="J41" s="81"/>
      <c r="K41" s="81"/>
      <c r="L41" s="81"/>
      <c r="M41" s="81"/>
      <c r="N41" s="181"/>
      <c r="O41" s="369"/>
      <c r="P41" s="24"/>
      <c r="Q41" s="24"/>
      <c r="R41" s="24"/>
      <c r="S41" s="24"/>
      <c r="T41" s="24"/>
      <c r="U41" s="24"/>
      <c r="V41" s="24"/>
      <c r="W41" s="24"/>
      <c r="X41" s="24"/>
      <c r="Y41" s="24"/>
    </row>
    <row r="42" spans="1:25" ht="15.75" customHeight="1" x14ac:dyDescent="0.25">
      <c r="A42" s="118" t="s">
        <v>303</v>
      </c>
      <c r="B42" s="81"/>
      <c r="C42" s="81"/>
      <c r="D42" s="81"/>
      <c r="E42" s="81"/>
      <c r="F42" s="81"/>
      <c r="G42" s="81"/>
      <c r="H42" s="81"/>
      <c r="I42" s="181"/>
      <c r="J42" s="181"/>
      <c r="K42" s="181"/>
      <c r="L42" s="181"/>
      <c r="M42" s="128"/>
      <c r="N42" s="137">
        <f>('Pay &amp; Specialty (RV)'!N27)</f>
        <v>76.5</v>
      </c>
      <c r="O42" s="137">
        <f>('Pay &amp; Specialty (RV)'!O27)</f>
        <v>81.2</v>
      </c>
      <c r="P42" s="24"/>
      <c r="Q42" s="24"/>
      <c r="R42" s="24"/>
      <c r="S42" s="24"/>
      <c r="T42" s="24"/>
      <c r="U42" s="24"/>
      <c r="V42" s="24"/>
      <c r="W42" s="24"/>
      <c r="X42" s="24"/>
      <c r="Y42" s="24"/>
    </row>
    <row r="43" spans="1:25" ht="15.75" customHeight="1" x14ac:dyDescent="0.25">
      <c r="A43" s="118" t="s">
        <v>590</v>
      </c>
      <c r="B43" s="81"/>
      <c r="C43" s="81"/>
      <c r="D43" s="81"/>
      <c r="E43" s="81"/>
      <c r="F43" s="81"/>
      <c r="G43" s="81"/>
      <c r="H43" s="81"/>
      <c r="I43" s="181">
        <f>('Pay &amp; Specialty (RV)'!I28)</f>
        <v>14.2</v>
      </c>
      <c r="J43" s="181">
        <f>('Pay &amp; Specialty (RV)'!J28)</f>
        <v>17.5</v>
      </c>
      <c r="K43" s="181">
        <f>('Pay &amp; Specialty (RV)'!K28)</f>
        <v>18.2</v>
      </c>
      <c r="L43" s="181">
        <f>('Pay &amp; Specialty (RV)'!L28)</f>
        <v>20.3</v>
      </c>
      <c r="M43" s="128" t="s">
        <v>308</v>
      </c>
      <c r="N43" s="137">
        <f>('Pay &amp; Specialty (RV)'!N28)</f>
        <v>0</v>
      </c>
      <c r="O43" s="108"/>
      <c r="P43" s="24"/>
      <c r="Q43" s="24"/>
      <c r="R43" s="24"/>
      <c r="S43" s="24"/>
      <c r="T43" s="24"/>
      <c r="U43" s="24"/>
      <c r="V43" s="24"/>
      <c r="W43" s="24"/>
      <c r="X43" s="24"/>
      <c r="Y43" s="24"/>
    </row>
    <row r="44" spans="1:25" ht="15.75" customHeight="1" x14ac:dyDescent="0.25">
      <c r="A44" s="5"/>
      <c r="B44" s="81"/>
      <c r="C44" s="81"/>
      <c r="D44" s="81"/>
      <c r="E44" s="81"/>
      <c r="F44" s="81"/>
      <c r="G44" s="81"/>
      <c r="H44" s="81"/>
      <c r="I44" s="81"/>
      <c r="J44" s="81"/>
      <c r="K44" s="81"/>
      <c r="L44" s="81"/>
      <c r="M44" s="81"/>
      <c r="N44" s="81"/>
      <c r="O44" s="108"/>
      <c r="P44" s="24"/>
      <c r="Q44" s="24"/>
      <c r="R44" s="24"/>
      <c r="S44" s="24"/>
      <c r="T44" s="24"/>
      <c r="U44" s="24"/>
      <c r="V44" s="24"/>
      <c r="W44" s="24"/>
      <c r="X44" s="24"/>
      <c r="Y44" s="24"/>
    </row>
    <row r="45" spans="1:25" ht="15.75" customHeight="1" x14ac:dyDescent="0.25">
      <c r="A45" s="5"/>
      <c r="B45" s="81"/>
      <c r="C45" s="81"/>
      <c r="D45" s="81"/>
      <c r="E45" s="81"/>
      <c r="F45" s="81"/>
      <c r="G45" s="81"/>
      <c r="H45" s="81"/>
      <c r="I45" s="81"/>
      <c r="J45" s="81"/>
      <c r="K45" s="81"/>
      <c r="L45" s="81"/>
      <c r="M45" s="81"/>
      <c r="N45" s="81"/>
      <c r="O45" s="108"/>
      <c r="P45" s="24"/>
      <c r="Q45" s="24"/>
      <c r="R45" s="24"/>
      <c r="S45" s="24"/>
      <c r="T45" s="24"/>
      <c r="U45" s="24"/>
      <c r="V45" s="24"/>
      <c r="W45" s="24"/>
      <c r="X45" s="24"/>
      <c r="Y45" s="24"/>
    </row>
    <row r="46" spans="1:25" ht="16.5" customHeight="1" x14ac:dyDescent="0.25">
      <c r="A46" s="193" t="s">
        <v>323</v>
      </c>
      <c r="B46" s="81">
        <f>('Pay &amp; Specialty (RV)'!B33)</f>
        <v>93.8</v>
      </c>
      <c r="C46" s="81">
        <f>('Pay &amp; Specialty (RV)'!C33)</f>
        <v>142.4</v>
      </c>
      <c r="D46" s="81">
        <f>('Pay &amp; Specialty (RV)'!D33)</f>
        <v>322.09699999999998</v>
      </c>
      <c r="E46" s="81">
        <f>('Pay &amp; Specialty (RV)'!E33)</f>
        <v>395.18400000000003</v>
      </c>
      <c r="F46" s="81">
        <f>('Pay &amp; Specialty (RV)'!F33)</f>
        <v>664.48</v>
      </c>
      <c r="G46" s="81">
        <f>('Pay &amp; Specialty (RV)'!G33)</f>
        <v>842.08199999999999</v>
      </c>
      <c r="H46" s="81">
        <f>('Pay &amp; Specialty (RV)'!H33)</f>
        <v>1270.431</v>
      </c>
      <c r="I46" s="81">
        <f>('Pay &amp; Specialty (RV)'!I33)</f>
        <v>2065.201</v>
      </c>
      <c r="J46" s="81">
        <f>('Pay &amp; Specialty (RV)'!J33)</f>
        <v>2931.1410000000001</v>
      </c>
      <c r="K46" s="81">
        <f>('Pay &amp; Specialty (RV)'!K33)</f>
        <v>3474.62</v>
      </c>
      <c r="L46" s="81">
        <f>('Pay &amp; Specialty (RV)'!L33)</f>
        <v>3748.0920000000001</v>
      </c>
      <c r="M46" s="81">
        <f>('Pay &amp; Specialty (RV)'!M33)</f>
        <v>3967.587</v>
      </c>
      <c r="N46" s="81">
        <f>('Pay &amp; Specialty (RV)'!N33)</f>
        <v>4090.9940000000001</v>
      </c>
      <c r="O46" s="81">
        <f>('Pay &amp; Specialty (RV)'!O33)</f>
        <v>4216.3999999999996</v>
      </c>
      <c r="P46" s="24"/>
      <c r="Q46" s="24"/>
      <c r="R46" s="24"/>
      <c r="S46" s="24"/>
      <c r="T46" s="24"/>
      <c r="U46" s="24"/>
      <c r="V46" s="24"/>
      <c r="W46" s="24"/>
      <c r="X46" s="24"/>
      <c r="Y46" s="24"/>
    </row>
    <row r="47" spans="1:25" ht="16.5" customHeight="1" x14ac:dyDescent="0.25">
      <c r="A47" s="193" t="s">
        <v>341</v>
      </c>
      <c r="B47" s="81">
        <v>1710.5229999999999</v>
      </c>
      <c r="C47" s="81">
        <v>2170.3870000000002</v>
      </c>
      <c r="D47" s="81">
        <v>2403.2980000000002</v>
      </c>
      <c r="E47" s="81">
        <v>2489.116</v>
      </c>
      <c r="F47" s="81">
        <v>2663.692</v>
      </c>
      <c r="G47" s="81">
        <v>2931.2179999999998</v>
      </c>
      <c r="H47" s="81">
        <v>3046.1109999999999</v>
      </c>
      <c r="I47" s="81">
        <v>3190.152</v>
      </c>
      <c r="J47" s="81">
        <v>3390.7169999999996</v>
      </c>
      <c r="K47" s="81">
        <v>3415.364</v>
      </c>
      <c r="L47" s="81">
        <v>3501.7339999999999</v>
      </c>
      <c r="M47" s="81">
        <v>3419.8710000000001</v>
      </c>
      <c r="N47" s="81">
        <v>3190.9</v>
      </c>
      <c r="O47" s="84">
        <v>3059.2</v>
      </c>
      <c r="P47" s="24"/>
      <c r="Q47" s="24"/>
      <c r="R47" s="24"/>
      <c r="S47" s="24"/>
      <c r="T47" s="24"/>
      <c r="U47" s="24"/>
      <c r="V47" s="24"/>
      <c r="W47" s="24"/>
      <c r="X47" s="24"/>
      <c r="Y47" s="24"/>
    </row>
    <row r="48" spans="1:25" ht="15.75" customHeight="1" x14ac:dyDescent="0.25">
      <c r="A48" s="193" t="s">
        <v>593</v>
      </c>
      <c r="B48" s="387">
        <v>1837.8150000000001</v>
      </c>
      <c r="C48" s="387">
        <v>2349.5830000000001</v>
      </c>
      <c r="D48" s="387">
        <v>2761.2470000000003</v>
      </c>
      <c r="E48" s="387">
        <v>2920.3240000000005</v>
      </c>
      <c r="F48" s="387">
        <v>3366.7040000000002</v>
      </c>
      <c r="G48" s="387">
        <v>3811.2599999999998</v>
      </c>
      <c r="H48" s="387">
        <v>4353.93</v>
      </c>
      <c r="I48" s="387">
        <v>5297.4930000000004</v>
      </c>
      <c r="J48" s="387">
        <v>6321.8580000000002</v>
      </c>
      <c r="K48" s="387">
        <v>6889.9840000000004</v>
      </c>
      <c r="L48" s="387">
        <v>7249.826</v>
      </c>
      <c r="M48" s="387">
        <v>7387.4580000000005</v>
      </c>
      <c r="N48" s="387">
        <f>SUM(N46:N47)</f>
        <v>7281.8940000000002</v>
      </c>
      <c r="O48" s="391">
        <v>7275.6</v>
      </c>
      <c r="P48" s="197">
        <f>(M48-O48)/M48</f>
        <v>1.5141608926913718E-2</v>
      </c>
      <c r="Q48" s="44"/>
      <c r="R48" s="44"/>
      <c r="S48" s="44"/>
      <c r="T48" s="44"/>
      <c r="U48" s="44"/>
      <c r="V48" s="44"/>
      <c r="W48" s="44"/>
      <c r="X48" s="44"/>
      <c r="Y48" s="44"/>
    </row>
    <row r="49" spans="1:25" ht="12.75" customHeight="1" x14ac:dyDescent="0.25">
      <c r="A49" s="193" t="s">
        <v>42</v>
      </c>
      <c r="B49" s="110">
        <f>'Total TV Universe (MS)'!B49</f>
        <v>58.213367504346195</v>
      </c>
      <c r="C49" s="110">
        <f>'Total TV Universe (MS)'!C49</f>
        <v>62.797185713379776</v>
      </c>
      <c r="D49" s="110">
        <f>'Total TV Universe (MS)'!D49</f>
        <v>57.503729293322898</v>
      </c>
      <c r="E49" s="110">
        <f>'Total TV Universe (MS)'!E49</f>
        <v>58.966196901439687</v>
      </c>
      <c r="F49" s="110">
        <f>'Total TV Universe (MS)'!F49</f>
        <v>58.380600135919273</v>
      </c>
      <c r="G49" s="110">
        <f>'Total TV Universe (MS)'!G49</f>
        <v>65.008684791906092</v>
      </c>
      <c r="H49" s="110">
        <f>'Total TV Universe (MS)'!H49</f>
        <v>63.311590326440694</v>
      </c>
      <c r="I49" s="110">
        <f>'Total TV Universe (MS)'!I49</f>
        <v>63.279932602081772</v>
      </c>
      <c r="J49" s="110">
        <f>'Total TV Universe (MS)'!J49</f>
        <v>69.859209112257815</v>
      </c>
      <c r="K49" s="110">
        <f>'Total TV Universe (MS)'!K49</f>
        <v>75.446807278507464</v>
      </c>
      <c r="L49" s="110">
        <f>'Total TV Universe (MS)'!L49</f>
        <v>77.626997806568042</v>
      </c>
      <c r="M49" s="110">
        <f>'Total TV Universe (MS)'!M49</f>
        <v>76.630864771075508</v>
      </c>
      <c r="N49" s="110">
        <f>'Total TV Universe (MS)'!N49</f>
        <v>79.77833442782881</v>
      </c>
      <c r="O49" s="110">
        <f>'Total TV Universe (MS)'!O49</f>
        <v>85.099415384243215</v>
      </c>
      <c r="P49" s="24"/>
      <c r="Q49" s="24"/>
      <c r="R49" s="44"/>
      <c r="S49" s="44"/>
      <c r="T49" s="44"/>
      <c r="U49" s="44"/>
      <c r="V49" s="44"/>
      <c r="W49" s="24"/>
      <c r="X49" s="24"/>
      <c r="Y49" s="24"/>
    </row>
    <row r="50" spans="1:25" ht="15" customHeight="1" x14ac:dyDescent="0.25">
      <c r="A50" s="193" t="s">
        <v>43</v>
      </c>
      <c r="B50" s="110">
        <f>'Total TV Universe (MS)'!B50</f>
        <v>2149.6129291025045</v>
      </c>
      <c r="C50" s="110">
        <f>'Total TV Universe (MS)'!C50</f>
        <v>1987.6850421490162</v>
      </c>
      <c r="D50" s="110">
        <f>'Total TV Universe (MS)'!D50</f>
        <v>1707.4477454376877</v>
      </c>
      <c r="E50" s="110">
        <f>'Total TV Universe (MS)'!E50</f>
        <v>1596.7265068296708</v>
      </c>
      <c r="F50" s="110">
        <f>'Total TV Universe (MS)'!F50</f>
        <v>1465.568591177288</v>
      </c>
      <c r="G50" s="110">
        <f>'Total TV Universe (MS)'!G50</f>
        <v>1506.5320931446427</v>
      </c>
      <c r="H50" s="110">
        <f>'Total TV Universe (MS)'!H50</f>
        <v>1355.2785081315033</v>
      </c>
      <c r="I50" s="110">
        <f>'Total TV Universe (MS)'!I50</f>
        <v>1283.1148776055741</v>
      </c>
      <c r="J50" s="110">
        <f>'Total TV Universe (MS)'!J50</f>
        <v>1530.7934495710219</v>
      </c>
      <c r="K50" s="110">
        <f>'Total TV Universe (MS)'!K50</f>
        <v>1656.9943665018141</v>
      </c>
      <c r="L50" s="110">
        <f>'Total TV Universe (MS)'!L50</f>
        <v>1724.6901654268763</v>
      </c>
      <c r="M50" s="110">
        <f>'Total TV Universe (MS)'!M50</f>
        <v>1680.931090703752</v>
      </c>
      <c r="N50" s="110">
        <f>'Total TV Universe (MS)'!N50</f>
        <v>1808.3990992062534</v>
      </c>
      <c r="O50" s="110">
        <f>'Total TV Universe (MS)'!O50</f>
        <v>2127.7754968692616</v>
      </c>
      <c r="P50" s="24"/>
      <c r="Q50" s="24"/>
      <c r="R50" s="24"/>
      <c r="S50" s="24"/>
      <c r="T50" s="24"/>
      <c r="U50" s="24"/>
      <c r="V50" s="24"/>
      <c r="W50" s="24"/>
      <c r="X50" s="24"/>
      <c r="Y50" s="24"/>
    </row>
    <row r="51" spans="1:25" ht="15" customHeight="1" x14ac:dyDescent="0.25">
      <c r="A51" s="95" t="s">
        <v>603</v>
      </c>
      <c r="B51" s="97"/>
      <c r="C51" s="97"/>
      <c r="D51" s="97"/>
      <c r="E51" s="97"/>
      <c r="F51" s="258">
        <f>'Total TV Universe (MS)'!F51</f>
        <v>58.380600135919273</v>
      </c>
      <c r="G51" s="258">
        <f>'Total TV Universe (MS)'!G51</f>
        <v>65.008684791906092</v>
      </c>
      <c r="H51" s="258">
        <f>'Total TV Universe (MS)'!H51</f>
        <v>63.311590326440694</v>
      </c>
      <c r="I51" s="258">
        <f>'Total TV Universe (MS)'!I51</f>
        <v>63.279932602081772</v>
      </c>
      <c r="J51" s="258">
        <f>'Total TV Universe (MS)'!J51</f>
        <v>69.984172374640508</v>
      </c>
      <c r="K51" s="258">
        <f>'Total TV Universe (MS)'!K51</f>
        <v>68.229476294865123</v>
      </c>
      <c r="L51" s="258">
        <f>'Total TV Universe (MS)'!L51</f>
        <v>70.354791963282977</v>
      </c>
      <c r="M51" s="258">
        <f>'Total TV Universe (MS)'!M51</f>
        <v>69.574676431324548</v>
      </c>
      <c r="N51" s="258">
        <f>'Total TV Universe (MS)'!N51</f>
        <v>72.283392205379528</v>
      </c>
      <c r="O51" s="258">
        <f>'Total TV Universe (MS)'!O51</f>
        <v>77.425916762878671</v>
      </c>
      <c r="P51" s="161"/>
      <c r="Q51" s="161"/>
      <c r="R51" s="161"/>
      <c r="S51" s="161"/>
      <c r="T51" s="161"/>
      <c r="U51" s="161"/>
      <c r="V51" s="161"/>
      <c r="W51" s="161"/>
      <c r="X51" s="161"/>
      <c r="Y51" s="161"/>
    </row>
    <row r="52" spans="1:25" ht="15" customHeight="1" x14ac:dyDescent="0.25">
      <c r="A52" s="95" t="s">
        <v>607</v>
      </c>
      <c r="B52" s="97"/>
      <c r="C52" s="97"/>
      <c r="D52" s="97"/>
      <c r="E52" s="97"/>
      <c r="F52" s="258">
        <f>'Total TV Universe (MS)'!F52</f>
        <v>1465.568591177288</v>
      </c>
      <c r="G52" s="258">
        <f>'Total TV Universe (MS)'!G52</f>
        <v>1506.5320931446427</v>
      </c>
      <c r="H52" s="258">
        <f>'Total TV Universe (MS)'!H52</f>
        <v>1355.2785081315033</v>
      </c>
      <c r="I52" s="258">
        <f>'Total TV Universe (MS)'!I52</f>
        <v>1279.1611630469365</v>
      </c>
      <c r="J52" s="258">
        <f>'Total TV Universe (MS)'!J52</f>
        <v>1517.9680903381236</v>
      </c>
      <c r="K52" s="258">
        <f>'Total TV Universe (MS)'!K52</f>
        <v>1452.164152013446</v>
      </c>
      <c r="L52" s="258">
        <f>'Total TV Universe (MS)'!L52</f>
        <v>1511.6144357154853</v>
      </c>
      <c r="M52" s="258">
        <f>'Total TV Universe (MS)'!M52</f>
        <v>1491.0075081295995</v>
      </c>
      <c r="N52" s="258">
        <f>'Total TV Universe (MS)'!N52</f>
        <v>1609.7524491818629</v>
      </c>
      <c r="O52" s="258">
        <f>'Total TV Universe (MS)'!O52</f>
        <v>1919.5165164725047</v>
      </c>
      <c r="P52" s="161"/>
      <c r="Q52" s="161"/>
      <c r="R52" s="161"/>
      <c r="S52" s="161"/>
      <c r="T52" s="161"/>
      <c r="U52" s="161"/>
      <c r="V52" s="161"/>
      <c r="W52" s="161"/>
      <c r="X52" s="161"/>
      <c r="Y52" s="161"/>
    </row>
    <row r="53" spans="1:25" ht="13.5" customHeight="1" x14ac:dyDescent="0.25">
      <c r="A53" s="9"/>
      <c r="B53" s="11"/>
      <c r="C53" s="11"/>
      <c r="D53" s="11"/>
      <c r="E53" s="11"/>
      <c r="F53" s="11"/>
      <c r="G53" s="11"/>
      <c r="H53" s="11"/>
      <c r="I53" s="11"/>
      <c r="J53" s="11"/>
      <c r="K53" s="11"/>
      <c r="L53" s="11"/>
      <c r="M53" s="11"/>
      <c r="N53" s="11"/>
      <c r="O53" s="24"/>
      <c r="P53" s="24"/>
      <c r="Q53" s="24"/>
      <c r="R53" s="24"/>
      <c r="S53" s="24"/>
      <c r="T53" s="24"/>
      <c r="U53" s="24"/>
      <c r="V53" s="24"/>
      <c r="W53" s="24"/>
      <c r="X53" s="24"/>
      <c r="Y53" s="24"/>
    </row>
    <row r="54" spans="1:25" ht="15.75" customHeight="1" x14ac:dyDescent="0.25">
      <c r="A54" s="25"/>
      <c r="B54" s="631" t="s">
        <v>46</v>
      </c>
      <c r="C54" s="623"/>
      <c r="D54" s="623"/>
      <c r="E54" s="11"/>
      <c r="F54" s="11"/>
      <c r="G54" s="11"/>
      <c r="H54" s="11"/>
      <c r="I54" s="11"/>
      <c r="J54" s="11"/>
      <c r="K54" s="11"/>
      <c r="L54" s="11"/>
      <c r="M54" s="11"/>
      <c r="N54" s="11"/>
      <c r="O54" s="24"/>
      <c r="P54" s="24"/>
      <c r="Q54" s="24"/>
      <c r="R54" s="24"/>
      <c r="S54" s="24"/>
      <c r="T54" s="24"/>
      <c r="U54" s="24"/>
      <c r="V54" s="24"/>
      <c r="W54" s="24"/>
      <c r="X54" s="24"/>
      <c r="Y54" s="24"/>
    </row>
    <row r="55" spans="1:25" ht="15.75" customHeight="1" x14ac:dyDescent="0.25">
      <c r="A55" s="25"/>
      <c r="B55" s="624" t="s">
        <v>611</v>
      </c>
      <c r="C55" s="623"/>
      <c r="D55" s="623"/>
      <c r="E55" s="623"/>
      <c r="F55" s="623"/>
      <c r="G55" s="623"/>
      <c r="H55" s="623"/>
      <c r="I55" s="623"/>
      <c r="J55" s="623"/>
      <c r="K55" s="623"/>
      <c r="L55" s="623"/>
      <c r="M55" s="623"/>
      <c r="N55" s="623"/>
      <c r="O55" s="623"/>
      <c r="P55" s="24"/>
      <c r="Q55" s="24"/>
      <c r="R55" s="24"/>
      <c r="S55" s="24"/>
      <c r="T55" s="24"/>
      <c r="U55" s="24"/>
      <c r="V55" s="24"/>
      <c r="W55" s="24"/>
      <c r="X55" s="24"/>
      <c r="Y55" s="24"/>
    </row>
    <row r="56" spans="1:25" ht="15.75" customHeight="1" x14ac:dyDescent="0.25">
      <c r="A56" s="25"/>
      <c r="B56" s="623"/>
      <c r="C56" s="623"/>
      <c r="D56" s="623"/>
      <c r="E56" s="623"/>
      <c r="F56" s="623"/>
      <c r="G56" s="623"/>
      <c r="H56" s="623"/>
      <c r="I56" s="623"/>
      <c r="J56" s="623"/>
      <c r="K56" s="623"/>
      <c r="L56" s="623"/>
      <c r="M56" s="623"/>
      <c r="N56" s="623"/>
      <c r="O56" s="623"/>
      <c r="P56" s="24"/>
      <c r="Q56" s="24"/>
      <c r="R56" s="24"/>
      <c r="S56" s="24"/>
      <c r="T56" s="24"/>
      <c r="U56" s="24"/>
      <c r="V56" s="24"/>
      <c r="W56" s="24"/>
      <c r="X56" s="24"/>
      <c r="Y56" s="24"/>
    </row>
    <row r="57" spans="1:25" ht="15.75" customHeight="1" x14ac:dyDescent="0.25">
      <c r="A57" s="25"/>
      <c r="B57" s="623"/>
      <c r="C57" s="623"/>
      <c r="D57" s="623"/>
      <c r="E57" s="623"/>
      <c r="F57" s="623"/>
      <c r="G57" s="623"/>
      <c r="H57" s="623"/>
      <c r="I57" s="623"/>
      <c r="J57" s="623"/>
      <c r="K57" s="623"/>
      <c r="L57" s="623"/>
      <c r="M57" s="623"/>
      <c r="N57" s="623"/>
      <c r="O57" s="623"/>
      <c r="P57" s="24"/>
      <c r="Q57" s="24"/>
      <c r="R57" s="24"/>
      <c r="S57" s="24"/>
      <c r="T57" s="24"/>
      <c r="U57" s="24"/>
      <c r="V57" s="24"/>
      <c r="W57" s="24"/>
      <c r="X57" s="24"/>
      <c r="Y57" s="24"/>
    </row>
    <row r="58" spans="1:25" ht="15.75" customHeight="1" x14ac:dyDescent="0.25">
      <c r="A58" s="25"/>
      <c r="B58" s="623"/>
      <c r="C58" s="623"/>
      <c r="D58" s="623"/>
      <c r="E58" s="623"/>
      <c r="F58" s="623"/>
      <c r="G58" s="623"/>
      <c r="H58" s="623"/>
      <c r="I58" s="623"/>
      <c r="J58" s="623"/>
      <c r="K58" s="623"/>
      <c r="L58" s="623"/>
      <c r="M58" s="623"/>
      <c r="N58" s="623"/>
      <c r="O58" s="623"/>
      <c r="P58" s="24"/>
      <c r="Q58" s="24"/>
      <c r="R58" s="24"/>
      <c r="S58" s="24"/>
      <c r="T58" s="24"/>
      <c r="U58" s="24"/>
      <c r="V58" s="24"/>
      <c r="W58" s="24"/>
      <c r="X58" s="24"/>
      <c r="Y58" s="24"/>
    </row>
    <row r="59" spans="1:25" ht="15.75" customHeight="1" x14ac:dyDescent="0.25">
      <c r="A59" s="25"/>
      <c r="B59" s="623"/>
      <c r="C59" s="623"/>
      <c r="D59" s="623"/>
      <c r="E59" s="623"/>
      <c r="F59" s="623"/>
      <c r="G59" s="623"/>
      <c r="H59" s="623"/>
      <c r="I59" s="623"/>
      <c r="J59" s="623"/>
      <c r="K59" s="623"/>
      <c r="L59" s="623"/>
      <c r="M59" s="623"/>
      <c r="N59" s="623"/>
      <c r="O59" s="623"/>
      <c r="P59" s="24"/>
      <c r="Q59" s="24"/>
      <c r="R59" s="24"/>
      <c r="S59" s="24"/>
      <c r="T59" s="24"/>
      <c r="U59" s="24"/>
      <c r="V59" s="24"/>
      <c r="W59" s="24"/>
      <c r="X59" s="24"/>
      <c r="Y59" s="24"/>
    </row>
    <row r="60" spans="1:25" ht="15.75" customHeight="1" x14ac:dyDescent="0.25">
      <c r="A60" s="25"/>
      <c r="B60" s="623"/>
      <c r="C60" s="623"/>
      <c r="D60" s="623"/>
      <c r="E60" s="623"/>
      <c r="F60" s="623"/>
      <c r="G60" s="623"/>
      <c r="H60" s="623"/>
      <c r="I60" s="623"/>
      <c r="J60" s="623"/>
      <c r="K60" s="623"/>
      <c r="L60" s="623"/>
      <c r="M60" s="623"/>
      <c r="N60" s="623"/>
      <c r="O60" s="623"/>
      <c r="P60" s="24"/>
      <c r="Q60" s="24"/>
      <c r="R60" s="24"/>
      <c r="S60" s="24"/>
      <c r="T60" s="24"/>
      <c r="U60" s="24"/>
      <c r="V60" s="24"/>
      <c r="W60" s="24"/>
      <c r="X60" s="24"/>
      <c r="Y60" s="24"/>
    </row>
    <row r="61" spans="1:25" ht="15.75" customHeight="1" x14ac:dyDescent="0.25">
      <c r="A61" s="25"/>
      <c r="B61" s="623"/>
      <c r="C61" s="623"/>
      <c r="D61" s="623"/>
      <c r="E61" s="623"/>
      <c r="F61" s="623"/>
      <c r="G61" s="623"/>
      <c r="H61" s="623"/>
      <c r="I61" s="623"/>
      <c r="J61" s="623"/>
      <c r="K61" s="623"/>
      <c r="L61" s="623"/>
      <c r="M61" s="623"/>
      <c r="N61" s="623"/>
      <c r="O61" s="623"/>
      <c r="P61" s="24"/>
      <c r="Q61" s="24"/>
      <c r="R61" s="24"/>
      <c r="S61" s="24"/>
      <c r="T61" s="24"/>
      <c r="U61" s="24"/>
      <c r="V61" s="24"/>
      <c r="W61" s="24"/>
      <c r="X61" s="24"/>
      <c r="Y61" s="24"/>
    </row>
    <row r="62" spans="1:25" ht="15.75" customHeight="1" x14ac:dyDescent="0.25">
      <c r="A62" s="25"/>
      <c r="B62" s="623"/>
      <c r="C62" s="623"/>
      <c r="D62" s="623"/>
      <c r="E62" s="623"/>
      <c r="F62" s="623"/>
      <c r="G62" s="623"/>
      <c r="H62" s="623"/>
      <c r="I62" s="623"/>
      <c r="J62" s="623"/>
      <c r="K62" s="623"/>
      <c r="L62" s="623"/>
      <c r="M62" s="623"/>
      <c r="N62" s="623"/>
      <c r="O62" s="623"/>
      <c r="P62" s="24"/>
      <c r="Q62" s="24"/>
      <c r="R62" s="24"/>
      <c r="S62" s="24"/>
      <c r="T62" s="24"/>
      <c r="U62" s="24"/>
      <c r="V62" s="24"/>
      <c r="W62" s="24"/>
      <c r="X62" s="24"/>
      <c r="Y62" s="24"/>
    </row>
    <row r="63" spans="1:25" ht="15.75" customHeight="1" x14ac:dyDescent="0.25">
      <c r="A63" s="25"/>
      <c r="B63" s="623"/>
      <c r="C63" s="623"/>
      <c r="D63" s="623"/>
      <c r="E63" s="623"/>
      <c r="F63" s="623"/>
      <c r="G63" s="623"/>
      <c r="H63" s="623"/>
      <c r="I63" s="623"/>
      <c r="J63" s="623"/>
      <c r="K63" s="623"/>
      <c r="L63" s="623"/>
      <c r="M63" s="623"/>
      <c r="N63" s="623"/>
      <c r="O63" s="623"/>
      <c r="P63" s="24"/>
      <c r="Q63" s="24"/>
      <c r="R63" s="24"/>
      <c r="S63" s="24"/>
      <c r="T63" s="24"/>
      <c r="U63" s="24"/>
      <c r="V63" s="24"/>
      <c r="W63" s="24"/>
      <c r="X63" s="24"/>
      <c r="Y63" s="24"/>
    </row>
    <row r="64" spans="1:25" ht="15.75" customHeight="1" x14ac:dyDescent="0.25">
      <c r="A64" s="25"/>
      <c r="B64" s="623"/>
      <c r="C64" s="623"/>
      <c r="D64" s="623"/>
      <c r="E64" s="623"/>
      <c r="F64" s="623"/>
      <c r="G64" s="623"/>
      <c r="H64" s="623"/>
      <c r="I64" s="623"/>
      <c r="J64" s="623"/>
      <c r="K64" s="623"/>
      <c r="L64" s="623"/>
      <c r="M64" s="623"/>
      <c r="N64" s="623"/>
      <c r="O64" s="623"/>
      <c r="P64" s="24"/>
      <c r="Q64" s="24"/>
      <c r="R64" s="24"/>
      <c r="S64" s="24"/>
      <c r="T64" s="24"/>
      <c r="U64" s="24"/>
      <c r="V64" s="24"/>
      <c r="W64" s="24"/>
      <c r="X64" s="24"/>
      <c r="Y64" s="24"/>
    </row>
    <row r="65" spans="1:25" ht="15.75" customHeight="1" x14ac:dyDescent="0.25">
      <c r="A65" s="25"/>
      <c r="B65" s="623"/>
      <c r="C65" s="623"/>
      <c r="D65" s="623"/>
      <c r="E65" s="623"/>
      <c r="F65" s="623"/>
      <c r="G65" s="623"/>
      <c r="H65" s="623"/>
      <c r="I65" s="623"/>
      <c r="J65" s="623"/>
      <c r="K65" s="623"/>
      <c r="L65" s="623"/>
      <c r="M65" s="623"/>
      <c r="N65" s="623"/>
      <c r="O65" s="623"/>
      <c r="P65" s="24"/>
      <c r="Q65" s="24"/>
      <c r="R65" s="24"/>
      <c r="S65" s="24"/>
      <c r="T65" s="24"/>
      <c r="U65" s="24"/>
      <c r="V65" s="24"/>
      <c r="W65" s="24"/>
      <c r="X65" s="24"/>
      <c r="Y65" s="24"/>
    </row>
    <row r="66" spans="1:25" ht="15.75" customHeight="1" x14ac:dyDescent="0.25">
      <c r="A66" s="25"/>
      <c r="B66" s="623"/>
      <c r="C66" s="623"/>
      <c r="D66" s="623"/>
      <c r="E66" s="623"/>
      <c r="F66" s="623"/>
      <c r="G66" s="623"/>
      <c r="H66" s="623"/>
      <c r="I66" s="623"/>
      <c r="J66" s="623"/>
      <c r="K66" s="623"/>
      <c r="L66" s="623"/>
      <c r="M66" s="623"/>
      <c r="N66" s="623"/>
      <c r="O66" s="623"/>
      <c r="P66" s="24"/>
      <c r="Q66" s="24"/>
      <c r="R66" s="24"/>
      <c r="S66" s="24"/>
      <c r="T66" s="24"/>
      <c r="U66" s="24"/>
      <c r="V66" s="24"/>
      <c r="W66" s="24"/>
      <c r="X66" s="24"/>
      <c r="Y66" s="24"/>
    </row>
    <row r="67" spans="1:25" ht="15.75" customHeight="1" x14ac:dyDescent="0.25">
      <c r="A67" s="25"/>
      <c r="B67" s="623"/>
      <c r="C67" s="623"/>
      <c r="D67" s="623"/>
      <c r="E67" s="623"/>
      <c r="F67" s="623"/>
      <c r="G67" s="623"/>
      <c r="H67" s="623"/>
      <c r="I67" s="623"/>
      <c r="J67" s="623"/>
      <c r="K67" s="623"/>
      <c r="L67" s="623"/>
      <c r="M67" s="623"/>
      <c r="N67" s="623"/>
      <c r="O67" s="623"/>
      <c r="P67" s="24"/>
      <c r="Q67" s="24"/>
      <c r="R67" s="24"/>
      <c r="S67" s="24"/>
      <c r="T67" s="24"/>
      <c r="U67" s="24"/>
      <c r="V67" s="24"/>
      <c r="W67" s="24"/>
      <c r="X67" s="24"/>
      <c r="Y67" s="24"/>
    </row>
    <row r="68" spans="1:25" ht="15.75" customHeight="1" x14ac:dyDescent="0.25">
      <c r="A68" s="25"/>
      <c r="B68" s="623"/>
      <c r="C68" s="623"/>
      <c r="D68" s="623"/>
      <c r="E68" s="623"/>
      <c r="F68" s="623"/>
      <c r="G68" s="623"/>
      <c r="H68" s="623"/>
      <c r="I68" s="623"/>
      <c r="J68" s="623"/>
      <c r="K68" s="623"/>
      <c r="L68" s="623"/>
      <c r="M68" s="623"/>
      <c r="N68" s="623"/>
      <c r="O68" s="623"/>
      <c r="P68" s="24"/>
      <c r="Q68" s="24"/>
      <c r="R68" s="24"/>
      <c r="S68" s="24"/>
      <c r="T68" s="24"/>
      <c r="U68" s="24"/>
      <c r="V68" s="24"/>
      <c r="W68" s="24"/>
      <c r="X68" s="24"/>
      <c r="Y68" s="24"/>
    </row>
    <row r="69" spans="1:25" ht="15.75" customHeight="1" x14ac:dyDescent="0.25">
      <c r="A69" s="25"/>
      <c r="B69" s="623"/>
      <c r="C69" s="623"/>
      <c r="D69" s="623"/>
      <c r="E69" s="623"/>
      <c r="F69" s="623"/>
      <c r="G69" s="623"/>
      <c r="H69" s="623"/>
      <c r="I69" s="623"/>
      <c r="J69" s="623"/>
      <c r="K69" s="623"/>
      <c r="L69" s="623"/>
      <c r="M69" s="623"/>
      <c r="N69" s="623"/>
      <c r="O69" s="623"/>
      <c r="P69" s="24"/>
      <c r="Q69" s="24"/>
      <c r="R69" s="24"/>
      <c r="S69" s="24"/>
      <c r="T69" s="24"/>
      <c r="U69" s="24"/>
      <c r="V69" s="24"/>
      <c r="W69" s="24"/>
      <c r="X69" s="24"/>
      <c r="Y69" s="24"/>
    </row>
    <row r="70" spans="1:25" ht="15.75" customHeight="1" x14ac:dyDescent="0.25">
      <c r="A70" s="25"/>
      <c r="B70" s="623"/>
      <c r="C70" s="623"/>
      <c r="D70" s="623"/>
      <c r="E70" s="623"/>
      <c r="F70" s="623"/>
      <c r="G70" s="623"/>
      <c r="H70" s="623"/>
      <c r="I70" s="623"/>
      <c r="J70" s="623"/>
      <c r="K70" s="623"/>
      <c r="L70" s="623"/>
      <c r="M70" s="623"/>
      <c r="N70" s="623"/>
      <c r="O70" s="623"/>
      <c r="P70" s="24"/>
      <c r="Q70" s="24"/>
      <c r="R70" s="24"/>
      <c r="S70" s="24"/>
      <c r="T70" s="24"/>
      <c r="U70" s="24"/>
      <c r="V70" s="24"/>
      <c r="W70" s="24"/>
      <c r="X70" s="24"/>
      <c r="Y70" s="24"/>
    </row>
    <row r="71" spans="1:25" ht="15.75" customHeight="1" x14ac:dyDescent="0.25">
      <c r="A71" s="25"/>
      <c r="B71" s="623"/>
      <c r="C71" s="623"/>
      <c r="D71" s="623"/>
      <c r="E71" s="623"/>
      <c r="F71" s="623"/>
      <c r="G71" s="623"/>
      <c r="H71" s="623"/>
      <c r="I71" s="623"/>
      <c r="J71" s="623"/>
      <c r="K71" s="623"/>
      <c r="L71" s="623"/>
      <c r="M71" s="623"/>
      <c r="N71" s="623"/>
      <c r="O71" s="623"/>
      <c r="P71" s="24"/>
      <c r="Q71" s="24"/>
      <c r="R71" s="24"/>
      <c r="S71" s="24"/>
      <c r="T71" s="24"/>
      <c r="U71" s="24"/>
      <c r="V71" s="24"/>
      <c r="W71" s="24"/>
      <c r="X71" s="24"/>
      <c r="Y71" s="24"/>
    </row>
    <row r="72" spans="1:25" ht="15.75" customHeight="1" x14ac:dyDescent="0.25">
      <c r="A72" s="25"/>
      <c r="B72" s="623"/>
      <c r="C72" s="623"/>
      <c r="D72" s="623"/>
      <c r="E72" s="623"/>
      <c r="F72" s="623"/>
      <c r="G72" s="623"/>
      <c r="H72" s="623"/>
      <c r="I72" s="623"/>
      <c r="J72" s="623"/>
      <c r="K72" s="623"/>
      <c r="L72" s="623"/>
      <c r="M72" s="623"/>
      <c r="N72" s="623"/>
      <c r="O72" s="623"/>
      <c r="P72" s="24"/>
      <c r="Q72" s="24"/>
      <c r="R72" s="24"/>
      <c r="S72" s="24"/>
      <c r="T72" s="24"/>
      <c r="U72" s="24"/>
      <c r="V72" s="24"/>
      <c r="W72" s="24"/>
      <c r="X72" s="24"/>
      <c r="Y72" s="24"/>
    </row>
    <row r="73" spans="1:25" ht="15.75" customHeight="1" x14ac:dyDescent="0.25">
      <c r="A73" s="25"/>
      <c r="B73" s="623"/>
      <c r="C73" s="623"/>
      <c r="D73" s="623"/>
      <c r="E73" s="623"/>
      <c r="F73" s="623"/>
      <c r="G73" s="623"/>
      <c r="H73" s="623"/>
      <c r="I73" s="623"/>
      <c r="J73" s="623"/>
      <c r="K73" s="623"/>
      <c r="L73" s="623"/>
      <c r="M73" s="623"/>
      <c r="N73" s="623"/>
      <c r="O73" s="623"/>
      <c r="P73" s="24"/>
      <c r="Q73" s="24"/>
      <c r="R73" s="24"/>
      <c r="S73" s="24"/>
      <c r="T73" s="24"/>
      <c r="U73" s="24"/>
      <c r="V73" s="24"/>
      <c r="W73" s="24"/>
      <c r="X73" s="24"/>
      <c r="Y73" s="24"/>
    </row>
    <row r="74" spans="1:25" ht="15.75" customHeight="1" x14ac:dyDescent="0.25">
      <c r="A74" s="25"/>
      <c r="B74" s="623"/>
      <c r="C74" s="623"/>
      <c r="D74" s="623"/>
      <c r="E74" s="623"/>
      <c r="F74" s="623"/>
      <c r="G74" s="623"/>
      <c r="H74" s="623"/>
      <c r="I74" s="623"/>
      <c r="J74" s="623"/>
      <c r="K74" s="623"/>
      <c r="L74" s="623"/>
      <c r="M74" s="623"/>
      <c r="N74" s="623"/>
      <c r="O74" s="623"/>
      <c r="P74" s="24"/>
      <c r="Q74" s="24"/>
      <c r="R74" s="24"/>
      <c r="S74" s="24"/>
      <c r="T74" s="24"/>
      <c r="U74" s="24"/>
      <c r="V74" s="24"/>
      <c r="W74" s="24"/>
      <c r="X74" s="24"/>
      <c r="Y74" s="24"/>
    </row>
    <row r="75" spans="1:25" ht="15.75" customHeight="1" x14ac:dyDescent="0.25">
      <c r="A75" s="25"/>
      <c r="B75" s="623"/>
      <c r="C75" s="623"/>
      <c r="D75" s="623"/>
      <c r="E75" s="623"/>
      <c r="F75" s="623"/>
      <c r="G75" s="623"/>
      <c r="H75" s="623"/>
      <c r="I75" s="623"/>
      <c r="J75" s="623"/>
      <c r="K75" s="623"/>
      <c r="L75" s="623"/>
      <c r="M75" s="623"/>
      <c r="N75" s="623"/>
      <c r="O75" s="623"/>
      <c r="P75" s="24"/>
      <c r="Q75" s="24"/>
      <c r="R75" s="24"/>
      <c r="S75" s="24"/>
      <c r="T75" s="24"/>
      <c r="U75" s="24"/>
      <c r="V75" s="24"/>
      <c r="W75" s="24"/>
      <c r="X75" s="24"/>
      <c r="Y75" s="24"/>
    </row>
    <row r="76" spans="1:25" ht="15.75" customHeight="1" x14ac:dyDescent="0.25">
      <c r="A76" s="25"/>
      <c r="B76" s="623"/>
      <c r="C76" s="623"/>
      <c r="D76" s="623"/>
      <c r="E76" s="623"/>
      <c r="F76" s="623"/>
      <c r="G76" s="623"/>
      <c r="H76" s="623"/>
      <c r="I76" s="623"/>
      <c r="J76" s="623"/>
      <c r="K76" s="623"/>
      <c r="L76" s="623"/>
      <c r="M76" s="623"/>
      <c r="N76" s="623"/>
      <c r="O76" s="623"/>
      <c r="P76" s="24"/>
      <c r="Q76" s="24"/>
      <c r="R76" s="24"/>
      <c r="S76" s="24"/>
      <c r="T76" s="24"/>
      <c r="U76" s="24"/>
      <c r="V76" s="24"/>
      <c r="W76" s="24"/>
      <c r="X76" s="24"/>
      <c r="Y76" s="24"/>
    </row>
    <row r="77" spans="1:25" ht="15.75" customHeight="1" x14ac:dyDescent="0.25">
      <c r="A77" s="25"/>
      <c r="B77" s="623"/>
      <c r="C77" s="623"/>
      <c r="D77" s="623"/>
      <c r="E77" s="623"/>
      <c r="F77" s="623"/>
      <c r="G77" s="623"/>
      <c r="H77" s="623"/>
      <c r="I77" s="623"/>
      <c r="J77" s="623"/>
      <c r="K77" s="623"/>
      <c r="L77" s="623"/>
      <c r="M77" s="623"/>
      <c r="N77" s="623"/>
      <c r="O77" s="623"/>
      <c r="P77" s="24"/>
      <c r="Q77" s="24"/>
      <c r="R77" s="24"/>
      <c r="S77" s="24"/>
      <c r="T77" s="24"/>
      <c r="U77" s="24"/>
      <c r="V77" s="24"/>
      <c r="W77" s="24"/>
      <c r="X77" s="24"/>
      <c r="Y77" s="24"/>
    </row>
    <row r="78" spans="1:25" ht="15.75" customHeight="1" x14ac:dyDescent="0.25">
      <c r="A78" s="25"/>
      <c r="B78" s="623"/>
      <c r="C78" s="623"/>
      <c r="D78" s="623"/>
      <c r="E78" s="623"/>
      <c r="F78" s="623"/>
      <c r="G78" s="623"/>
      <c r="H78" s="623"/>
      <c r="I78" s="623"/>
      <c r="J78" s="623"/>
      <c r="K78" s="623"/>
      <c r="L78" s="623"/>
      <c r="M78" s="623"/>
      <c r="N78" s="623"/>
      <c r="O78" s="623"/>
      <c r="P78" s="24"/>
      <c r="Q78" s="24"/>
      <c r="R78" s="24"/>
      <c r="S78" s="24"/>
      <c r="T78" s="24"/>
      <c r="U78" s="24"/>
      <c r="V78" s="24"/>
      <c r="W78" s="24"/>
      <c r="X78" s="24"/>
      <c r="Y78" s="24"/>
    </row>
    <row r="79" spans="1:25" ht="15.75" customHeight="1" x14ac:dyDescent="0.25">
      <c r="A79" s="25"/>
      <c r="B79" s="623"/>
      <c r="C79" s="623"/>
      <c r="D79" s="623"/>
      <c r="E79" s="623"/>
      <c r="F79" s="623"/>
      <c r="G79" s="623"/>
      <c r="H79" s="623"/>
      <c r="I79" s="623"/>
      <c r="J79" s="623"/>
      <c r="K79" s="623"/>
      <c r="L79" s="623"/>
      <c r="M79" s="623"/>
      <c r="N79" s="623"/>
      <c r="O79" s="623"/>
      <c r="P79" s="24"/>
      <c r="Q79" s="24"/>
      <c r="R79" s="24"/>
      <c r="S79" s="24"/>
      <c r="T79" s="24"/>
      <c r="U79" s="24"/>
      <c r="V79" s="24"/>
      <c r="W79" s="24"/>
      <c r="X79" s="24"/>
      <c r="Y79" s="24"/>
    </row>
    <row r="80" spans="1:25" ht="15.75" customHeight="1" x14ac:dyDescent="0.25">
      <c r="A80" s="25"/>
      <c r="B80" s="623"/>
      <c r="C80" s="623"/>
      <c r="D80" s="623"/>
      <c r="E80" s="623"/>
      <c r="F80" s="623"/>
      <c r="G80" s="623"/>
      <c r="H80" s="623"/>
      <c r="I80" s="623"/>
      <c r="J80" s="623"/>
      <c r="K80" s="623"/>
      <c r="L80" s="623"/>
      <c r="M80" s="623"/>
      <c r="N80" s="623"/>
      <c r="O80" s="623"/>
      <c r="P80" s="24"/>
      <c r="Q80" s="24"/>
      <c r="R80" s="24"/>
      <c r="S80" s="24"/>
      <c r="T80" s="24"/>
      <c r="U80" s="24"/>
      <c r="V80" s="24"/>
      <c r="W80" s="24"/>
      <c r="X80" s="24"/>
      <c r="Y80" s="24"/>
    </row>
    <row r="81" spans="1:25" ht="15.75" customHeight="1" x14ac:dyDescent="0.25">
      <c r="A81" s="25"/>
      <c r="B81" s="623"/>
      <c r="C81" s="623"/>
      <c r="D81" s="623"/>
      <c r="E81" s="623"/>
      <c r="F81" s="623"/>
      <c r="G81" s="623"/>
      <c r="H81" s="623"/>
      <c r="I81" s="623"/>
      <c r="J81" s="623"/>
      <c r="K81" s="623"/>
      <c r="L81" s="623"/>
      <c r="M81" s="623"/>
      <c r="N81" s="623"/>
      <c r="O81" s="623"/>
      <c r="P81" s="24"/>
      <c r="Q81" s="24"/>
      <c r="R81" s="24"/>
      <c r="S81" s="24"/>
      <c r="T81" s="24"/>
      <c r="U81" s="24"/>
      <c r="V81" s="24"/>
      <c r="W81" s="24"/>
      <c r="X81" s="24"/>
      <c r="Y81" s="24"/>
    </row>
    <row r="82" spans="1:25" ht="15.75" customHeight="1" x14ac:dyDescent="0.25">
      <c r="A82" s="25"/>
      <c r="B82" s="623"/>
      <c r="C82" s="623"/>
      <c r="D82" s="623"/>
      <c r="E82" s="623"/>
      <c r="F82" s="623"/>
      <c r="G82" s="623"/>
      <c r="H82" s="623"/>
      <c r="I82" s="623"/>
      <c r="J82" s="623"/>
      <c r="K82" s="623"/>
      <c r="L82" s="623"/>
      <c r="M82" s="623"/>
      <c r="N82" s="623"/>
      <c r="O82" s="623"/>
      <c r="P82" s="24"/>
      <c r="Q82" s="24"/>
      <c r="R82" s="24"/>
      <c r="S82" s="24"/>
      <c r="T82" s="24"/>
      <c r="U82" s="24"/>
      <c r="V82" s="24"/>
      <c r="W82" s="24"/>
      <c r="X82" s="24"/>
      <c r="Y82" s="24"/>
    </row>
    <row r="83" spans="1:25" ht="15.75" customHeight="1" x14ac:dyDescent="0.25">
      <c r="A83" s="25"/>
      <c r="B83" s="623"/>
      <c r="C83" s="623"/>
      <c r="D83" s="623"/>
      <c r="E83" s="623"/>
      <c r="F83" s="623"/>
      <c r="G83" s="623"/>
      <c r="H83" s="623"/>
      <c r="I83" s="623"/>
      <c r="J83" s="623"/>
      <c r="K83" s="623"/>
      <c r="L83" s="623"/>
      <c r="M83" s="623"/>
      <c r="N83" s="623"/>
      <c r="O83" s="623"/>
      <c r="P83" s="24"/>
      <c r="Q83" s="24"/>
      <c r="R83" s="24"/>
      <c r="S83" s="24"/>
      <c r="T83" s="24"/>
      <c r="U83" s="24"/>
      <c r="V83" s="24"/>
      <c r="W83" s="24"/>
      <c r="X83" s="24"/>
      <c r="Y83" s="24"/>
    </row>
    <row r="84" spans="1:25" ht="15.75" customHeight="1" x14ac:dyDescent="0.25">
      <c r="A84" s="25"/>
      <c r="B84" s="623"/>
      <c r="C84" s="623"/>
      <c r="D84" s="623"/>
      <c r="E84" s="623"/>
      <c r="F84" s="623"/>
      <c r="G84" s="623"/>
      <c r="H84" s="623"/>
      <c r="I84" s="623"/>
      <c r="J84" s="623"/>
      <c r="K84" s="623"/>
      <c r="L84" s="623"/>
      <c r="M84" s="623"/>
      <c r="N84" s="623"/>
      <c r="O84" s="623"/>
      <c r="P84" s="24"/>
      <c r="Q84" s="24"/>
      <c r="R84" s="24"/>
      <c r="S84" s="24"/>
      <c r="T84" s="24"/>
      <c r="U84" s="24"/>
      <c r="V84" s="24"/>
      <c r="W84" s="24"/>
      <c r="X84" s="24"/>
      <c r="Y84" s="24"/>
    </row>
    <row r="85" spans="1:25" ht="15.75" customHeight="1" x14ac:dyDescent="0.25">
      <c r="A85" s="25"/>
      <c r="B85" s="623"/>
      <c r="C85" s="623"/>
      <c r="D85" s="623"/>
      <c r="E85" s="623"/>
      <c r="F85" s="623"/>
      <c r="G85" s="623"/>
      <c r="H85" s="623"/>
      <c r="I85" s="623"/>
      <c r="J85" s="623"/>
      <c r="K85" s="623"/>
      <c r="L85" s="623"/>
      <c r="M85" s="623"/>
      <c r="N85" s="623"/>
      <c r="O85" s="623"/>
      <c r="P85" s="24"/>
      <c r="Q85" s="24"/>
      <c r="R85" s="24"/>
      <c r="S85" s="24"/>
      <c r="T85" s="24"/>
      <c r="U85" s="24"/>
      <c r="V85" s="24"/>
      <c r="W85" s="24"/>
      <c r="X85" s="24"/>
      <c r="Y85" s="24"/>
    </row>
    <row r="86" spans="1:25" ht="15.75" customHeight="1" x14ac:dyDescent="0.25">
      <c r="A86" s="25"/>
      <c r="B86" s="623"/>
      <c r="C86" s="623"/>
      <c r="D86" s="623"/>
      <c r="E86" s="623"/>
      <c r="F86" s="623"/>
      <c r="G86" s="623"/>
      <c r="H86" s="623"/>
      <c r="I86" s="623"/>
      <c r="J86" s="623"/>
      <c r="K86" s="623"/>
      <c r="L86" s="623"/>
      <c r="M86" s="623"/>
      <c r="N86" s="623"/>
      <c r="O86" s="623"/>
      <c r="P86" s="24"/>
      <c r="Q86" s="24"/>
      <c r="R86" s="24"/>
      <c r="S86" s="24"/>
      <c r="T86" s="24"/>
      <c r="U86" s="24"/>
      <c r="V86" s="24"/>
      <c r="W86" s="24"/>
      <c r="X86" s="24"/>
      <c r="Y86" s="24"/>
    </row>
    <row r="87" spans="1:25" ht="15.75" customHeight="1" x14ac:dyDescent="0.25">
      <c r="A87" s="25"/>
      <c r="B87" s="623"/>
      <c r="C87" s="623"/>
      <c r="D87" s="623"/>
      <c r="E87" s="623"/>
      <c r="F87" s="623"/>
      <c r="G87" s="623"/>
      <c r="H87" s="623"/>
      <c r="I87" s="623"/>
      <c r="J87" s="623"/>
      <c r="K87" s="623"/>
      <c r="L87" s="623"/>
      <c r="M87" s="623"/>
      <c r="N87" s="623"/>
      <c r="O87" s="623"/>
      <c r="P87" s="24"/>
      <c r="Q87" s="24"/>
      <c r="R87" s="24"/>
      <c r="S87" s="24"/>
      <c r="T87" s="24"/>
      <c r="U87" s="24"/>
      <c r="V87" s="24"/>
      <c r="W87" s="24"/>
      <c r="X87" s="24"/>
      <c r="Y87" s="24"/>
    </row>
    <row r="88" spans="1:25" ht="15.75" customHeight="1" x14ac:dyDescent="0.25">
      <c r="A88" s="25"/>
      <c r="B88" s="623"/>
      <c r="C88" s="623"/>
      <c r="D88" s="623"/>
      <c r="E88" s="623"/>
      <c r="F88" s="623"/>
      <c r="G88" s="623"/>
      <c r="H88" s="623"/>
      <c r="I88" s="623"/>
      <c r="J88" s="623"/>
      <c r="K88" s="623"/>
      <c r="L88" s="623"/>
      <c r="M88" s="623"/>
      <c r="N88" s="623"/>
      <c r="O88" s="623"/>
      <c r="P88" s="24"/>
      <c r="Q88" s="24"/>
      <c r="R88" s="24"/>
      <c r="S88" s="24"/>
      <c r="T88" s="24"/>
      <c r="U88" s="24"/>
      <c r="V88" s="24"/>
      <c r="W88" s="24"/>
      <c r="X88" s="24"/>
      <c r="Y88" s="24"/>
    </row>
  </sheetData>
  <mergeCells count="4">
    <mergeCell ref="B1:M1"/>
    <mergeCell ref="B54:D54"/>
    <mergeCell ref="B55:O88"/>
    <mergeCell ref="Q7:W14"/>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6.875" customWidth="1"/>
    <col min="2" max="2" width="10.75" customWidth="1"/>
    <col min="3" max="3" width="13.875" customWidth="1"/>
    <col min="4" max="4" width="12.75" customWidth="1"/>
    <col min="5" max="5" width="9.625" customWidth="1"/>
    <col min="6" max="6" width="11.625" customWidth="1"/>
    <col min="7" max="7" width="18.25" customWidth="1"/>
    <col min="8" max="8" width="12.75" customWidth="1"/>
    <col min="9" max="9" width="14.25" customWidth="1"/>
    <col min="10" max="10" width="18.625" customWidth="1"/>
    <col min="11" max="11" width="8.875" customWidth="1"/>
    <col min="12" max="12" width="7.875" customWidth="1"/>
    <col min="13" max="13" width="7.75" customWidth="1"/>
    <col min="14" max="25" width="10.75" customWidth="1"/>
  </cols>
  <sheetData>
    <row r="1" spans="1:25" ht="18" customHeight="1" x14ac:dyDescent="0.25">
      <c r="A1" s="155"/>
      <c r="B1" s="622" t="s">
        <v>251</v>
      </c>
      <c r="C1" s="623"/>
      <c r="D1" s="623"/>
      <c r="E1" s="623"/>
      <c r="F1" s="623"/>
      <c r="G1" s="623"/>
      <c r="H1" s="623"/>
      <c r="I1" s="623"/>
      <c r="J1" s="623"/>
      <c r="K1" s="623"/>
      <c r="L1" s="623"/>
      <c r="M1" s="623"/>
      <c r="N1" s="623"/>
      <c r="O1" s="623"/>
      <c r="P1" s="79"/>
      <c r="Q1" s="79"/>
      <c r="R1" s="79"/>
      <c r="S1" s="79"/>
      <c r="T1" s="79"/>
      <c r="U1" s="79"/>
      <c r="V1" s="79"/>
      <c r="W1" s="79"/>
      <c r="X1" s="79"/>
      <c r="Y1" s="79"/>
    </row>
    <row r="2" spans="1:25" ht="15.75" customHeight="1" x14ac:dyDescent="0.25">
      <c r="A2" s="156"/>
      <c r="B2" s="4">
        <v>1984</v>
      </c>
      <c r="C2" s="4">
        <v>1988</v>
      </c>
      <c r="D2" s="4">
        <v>1990</v>
      </c>
      <c r="E2" s="4">
        <v>1992</v>
      </c>
      <c r="F2" s="4">
        <v>1996</v>
      </c>
      <c r="G2" s="4">
        <v>1998</v>
      </c>
      <c r="H2" s="4">
        <v>2000</v>
      </c>
      <c r="I2" s="4">
        <v>2004</v>
      </c>
      <c r="J2" s="4" t="s">
        <v>80</v>
      </c>
      <c r="K2" s="4">
        <v>2010</v>
      </c>
      <c r="L2" s="4">
        <v>2011</v>
      </c>
      <c r="M2" s="4">
        <v>2012</v>
      </c>
      <c r="N2" s="4">
        <v>2013</v>
      </c>
      <c r="O2" s="4">
        <v>2014</v>
      </c>
      <c r="P2" s="83"/>
      <c r="Q2" s="83"/>
      <c r="R2" s="83"/>
      <c r="S2" s="83"/>
      <c r="T2" s="83"/>
      <c r="U2" s="83"/>
      <c r="V2" s="83"/>
      <c r="W2" s="83"/>
      <c r="X2" s="83"/>
      <c r="Y2" s="83"/>
    </row>
    <row r="3" spans="1:25" ht="15.75" customHeight="1" x14ac:dyDescent="0.25">
      <c r="A3" s="157" t="s">
        <v>32</v>
      </c>
      <c r="B3" s="81"/>
      <c r="C3" s="81"/>
      <c r="D3" s="81"/>
      <c r="E3" s="81"/>
      <c r="F3" s="81"/>
      <c r="G3" s="81"/>
      <c r="H3" s="81"/>
      <c r="I3" s="81"/>
      <c r="J3" s="110">
        <f>('Total TV Universe (RV)'!J3)/('Total TV Universe (RV)'!J48)*100</f>
        <v>0.817797552554961</v>
      </c>
      <c r="K3" s="110">
        <f>('Total TV Universe (RV)'!K3)/('Total TV Universe (RV)'!K48)*100</f>
        <v>0.85921825072452995</v>
      </c>
      <c r="L3" s="110">
        <f>('Total TV Universe (RV)'!L3)/('Total TV Universe (RV)'!L48)*100</f>
        <v>25.116464864122257</v>
      </c>
      <c r="M3" s="110">
        <f>('Total TV Universe (RV)'!M3)/('Total TV Universe (RV)'!M48)*100</f>
        <v>25.246844042971205</v>
      </c>
      <c r="N3" s="110">
        <f>('Total TV Universe (RV)'!N3)/('Total TV Universe (RV)'!N48)*100</f>
        <v>29.490953864475365</v>
      </c>
      <c r="O3" s="110">
        <f>('Total TV Universe (RV)'!O3)/('Total TV Universe (RV)'!O48)*100</f>
        <v>33.984825993732471</v>
      </c>
      <c r="P3" s="24"/>
      <c r="Q3" s="24"/>
      <c r="R3" s="24"/>
      <c r="S3" s="24"/>
      <c r="T3" s="24"/>
      <c r="U3" s="24"/>
      <c r="V3" s="24"/>
      <c r="W3" s="24"/>
      <c r="X3" s="24"/>
      <c r="Y3" s="24"/>
    </row>
    <row r="4" spans="1:25" ht="15.75" customHeight="1" x14ac:dyDescent="0.25">
      <c r="A4" s="157" t="s">
        <v>260</v>
      </c>
      <c r="B4" s="81"/>
      <c r="C4" s="110">
        <f>('Total TV Universe (RV)'!C4)/('Total TV Universe (RV)'!C48)*100</f>
        <v>0.85547094952593727</v>
      </c>
      <c r="D4" s="110">
        <f>('Total TV Universe (RV)'!D4)/('Total TV Universe (RV)'!D48)*100</f>
        <v>2.8429184350404002</v>
      </c>
      <c r="E4" s="110">
        <f>('Total TV Universe (RV)'!E4)/('Total TV Universe (RV)'!E48)*100</f>
        <v>3.0441827687612744</v>
      </c>
      <c r="F4" s="110">
        <f>('Total TV Universe (RV)'!F4)/('Total TV Universe (RV)'!F48)*100</f>
        <v>3.2702607654251752</v>
      </c>
      <c r="G4" s="110">
        <f>('Total TV Universe (RV)'!G4)/('Total TV Universe (RV)'!G48)*100</f>
        <v>3.4450549162219324</v>
      </c>
      <c r="H4" s="110">
        <f>('Total TV Universe (RV)'!H4)/('Total TV Universe (RV)'!H48)*100</f>
        <v>4.7704028314649056</v>
      </c>
      <c r="I4" s="110">
        <f>('Total TV Universe (RV)'!I4)/('Total TV Universe (RV)'!I48)*100</f>
        <v>6.9995373283173752</v>
      </c>
      <c r="J4" s="110">
        <f>('Total TV Universe (RV)'!J4)/('Total TV Universe (RV)'!J48)*100</f>
        <v>7.7651222156524229</v>
      </c>
      <c r="K4" s="110">
        <f>('Total TV Universe (RV)'!K4)/('Total TV Universe (RV)'!K48)*100</f>
        <v>7.6008884781154782</v>
      </c>
      <c r="L4" s="110">
        <f>('Total TV Universe (RV)'!L4)/('Total TV Universe (RV)'!L48)*100</f>
        <v>7.6401833644007446</v>
      </c>
      <c r="M4" s="110">
        <f>('Total TV Universe (RV)'!M4)/('Total TV Universe (RV)'!M48)*100</f>
        <v>7.60207367676405</v>
      </c>
      <c r="N4" s="81" t="s">
        <v>1</v>
      </c>
      <c r="O4" s="81"/>
      <c r="P4" s="24"/>
      <c r="Q4" s="24"/>
      <c r="R4" s="24"/>
      <c r="S4" s="24"/>
      <c r="T4" s="24"/>
      <c r="U4" s="24"/>
      <c r="V4" s="24"/>
      <c r="W4" s="24"/>
      <c r="X4" s="24"/>
      <c r="Y4" s="24"/>
    </row>
    <row r="5" spans="1:25" ht="15.75" customHeight="1" x14ac:dyDescent="0.25">
      <c r="A5" s="157" t="s">
        <v>289</v>
      </c>
      <c r="B5" s="81"/>
      <c r="C5" s="81"/>
      <c r="D5" s="81"/>
      <c r="E5" s="81"/>
      <c r="F5" s="81"/>
      <c r="G5" s="81"/>
      <c r="H5" s="81"/>
      <c r="I5" s="81"/>
      <c r="J5" s="81">
        <f>('Total TV Universe (RV)'!J5)/('Total TV Universe (RV)'!J48)*100</f>
        <v>23.977128242994389</v>
      </c>
      <c r="K5" s="81">
        <f>('Total TV Universe (RV)'!K5)/('Total TV Universe (RV)'!K48)*100</f>
        <v>24.554483725941889</v>
      </c>
      <c r="L5" s="81" t="s">
        <v>32</v>
      </c>
      <c r="M5" s="81"/>
      <c r="N5" s="81"/>
      <c r="O5" s="81"/>
      <c r="P5" s="24"/>
      <c r="Q5" s="24"/>
      <c r="R5" s="24"/>
      <c r="S5" s="24"/>
      <c r="T5" s="24"/>
      <c r="U5" s="24"/>
      <c r="V5" s="24"/>
      <c r="W5" s="24"/>
      <c r="X5" s="24"/>
      <c r="Y5" s="24"/>
    </row>
    <row r="6" spans="1:25" ht="15.75" customHeight="1" x14ac:dyDescent="0.25">
      <c r="A6" s="157" t="s">
        <v>297</v>
      </c>
      <c r="B6" s="81"/>
      <c r="C6" s="81"/>
      <c r="D6" s="81"/>
      <c r="E6" s="81"/>
      <c r="F6" s="81"/>
      <c r="G6" s="81"/>
      <c r="H6" s="110">
        <f>('Total TV Universe (RV)'!H6)/('Total TV Universe (RV)'!H48)*100</f>
        <v>0.28250339348588516</v>
      </c>
      <c r="I6" s="110">
        <f>('Total TV Universe (RV)'!I6)/('Total TV Universe (RV)'!I48)*100</f>
        <v>18.535182585422952</v>
      </c>
      <c r="J6" s="81" t="s">
        <v>300</v>
      </c>
      <c r="K6" s="81"/>
      <c r="L6" s="81"/>
      <c r="M6" s="81"/>
      <c r="N6" s="81"/>
      <c r="O6" s="81"/>
      <c r="P6" s="24"/>
      <c r="Q6" s="626" t="s">
        <v>8</v>
      </c>
      <c r="R6" s="623"/>
      <c r="S6" s="623"/>
      <c r="T6" s="623"/>
      <c r="U6" s="623"/>
      <c r="V6" s="24"/>
      <c r="W6" s="24"/>
      <c r="X6" s="24"/>
      <c r="Y6" s="24"/>
    </row>
    <row r="7" spans="1:25" ht="15.75" customHeight="1" x14ac:dyDescent="0.25">
      <c r="A7" s="157" t="s">
        <v>304</v>
      </c>
      <c r="B7" s="110">
        <f>('Total TV Universe (RV)'!B7)/('Total TV Universe (RV)'!B48)*100</f>
        <v>8.0391116624905106</v>
      </c>
      <c r="C7" s="110">
        <f>('Total TV Universe (RV)'!C7)/('Total TV Universe (RV)'!C48)*100</f>
        <v>9.73653622791789</v>
      </c>
      <c r="D7" s="110">
        <f>('Total TV Universe (RV)'!D7)/('Total TV Universe (RV)'!D48)*100</f>
        <v>6.1085444366259152</v>
      </c>
      <c r="E7" s="110">
        <f>('Total TV Universe (RV)'!E7)/('Total TV Universe (RV)'!E48)*100</f>
        <v>6.5877621798129224</v>
      </c>
      <c r="F7" s="110">
        <f>('Total TV Universe (RV)'!F7)/('Total TV Universe (RV)'!F48)*100</f>
        <v>6.4214733460381428</v>
      </c>
      <c r="G7" s="110">
        <f>('Total TV Universe (RV)'!G7)/('Total TV Universe (RV)'!G48)*100</f>
        <v>12.455198543263908</v>
      </c>
      <c r="H7" s="110">
        <f>('Total TV Universe (RV)'!H7)/('Total TV Universe (RV)'!H48)*100</f>
        <v>14.125169674294257</v>
      </c>
      <c r="I7" s="81" t="s">
        <v>359</v>
      </c>
      <c r="J7" s="81"/>
      <c r="K7" s="81"/>
      <c r="L7" s="81"/>
      <c r="M7" s="81"/>
      <c r="N7" s="81"/>
      <c r="O7" s="81"/>
      <c r="P7" s="24"/>
      <c r="Q7" s="623"/>
      <c r="R7" s="623"/>
      <c r="S7" s="623"/>
      <c r="T7" s="623"/>
      <c r="U7" s="623"/>
      <c r="V7" s="24"/>
      <c r="W7" s="24"/>
      <c r="X7" s="24"/>
      <c r="Y7" s="24"/>
    </row>
    <row r="8" spans="1:25" ht="15.75" customHeight="1" x14ac:dyDescent="0.25">
      <c r="A8" s="157" t="s">
        <v>316</v>
      </c>
      <c r="B8" s="81"/>
      <c r="C8" s="110">
        <f>('Total TV Universe (RV)'!C8)/('Total TV Universe (RV)'!C48)*100</f>
        <v>1.3236391308585396</v>
      </c>
      <c r="D8" s="110">
        <f>('Total TV Universe (RV)'!D8)/('Total TV Universe (RV)'!D48)*100</f>
        <v>2.8211891221611105</v>
      </c>
      <c r="E8" s="110">
        <f>('Total TV Universe (RV)'!E8)/('Total TV Universe (RV)'!E48)*100</f>
        <v>3.2564879787311263</v>
      </c>
      <c r="F8" s="110">
        <f>('Total TV Universe (RV)'!F8)/('Total TV Universe (RV)'!F48)*100</f>
        <v>6.0474576915582716</v>
      </c>
      <c r="G8" s="110">
        <f>('Total TV Universe (RV)'!G8)/('Total TV Universe (RV)'!G48)*100</f>
        <v>6.2157921527263955</v>
      </c>
      <c r="H8" s="81" t="s">
        <v>332</v>
      </c>
      <c r="I8" s="81"/>
      <c r="J8" s="81"/>
      <c r="K8" s="81"/>
      <c r="L8" s="81"/>
      <c r="M8" s="81"/>
      <c r="N8" s="81"/>
      <c r="O8" s="81"/>
      <c r="P8" s="24"/>
      <c r="Q8" s="623"/>
      <c r="R8" s="623"/>
      <c r="S8" s="623"/>
      <c r="T8" s="623"/>
      <c r="U8" s="623"/>
      <c r="V8" s="24"/>
      <c r="W8" s="24"/>
      <c r="X8" s="24"/>
      <c r="Y8" s="24"/>
    </row>
    <row r="9" spans="1:25" ht="15.75" customHeight="1" x14ac:dyDescent="0.25">
      <c r="A9" s="157" t="s">
        <v>335</v>
      </c>
      <c r="B9" s="110">
        <f>('Total TV Universe (RV)'!B9)/('Total TV Universe (RV)'!B48)*100</f>
        <v>1.2950160924793845</v>
      </c>
      <c r="C9" s="110">
        <f>('Total TV Universe (RV)'!C9)/('Total TV Universe (RV)'!C48)*100</f>
        <v>2.1876222291359784</v>
      </c>
      <c r="D9" s="110">
        <f>('Total TV Universe (RV)'!D9)/('Total TV Universe (RV)'!D48)*100</f>
        <v>2.0208260977739401</v>
      </c>
      <c r="E9" s="110">
        <f>('Total TV Universe (RV)'!E9)/('Total TV Universe (RV)'!E48)*100</f>
        <v>2.0990821566374138</v>
      </c>
      <c r="F9" s="110">
        <f>('Total TV Universe (RV)'!F9)/('Total TV Universe (RV)'!F48)*100</f>
        <v>1.9069095471416553</v>
      </c>
      <c r="G9" s="81" t="s">
        <v>330</v>
      </c>
      <c r="H9" s="81"/>
      <c r="I9" s="81"/>
      <c r="J9" s="81"/>
      <c r="K9" s="81"/>
      <c r="L9" s="81"/>
      <c r="M9" s="81"/>
      <c r="N9" s="81"/>
      <c r="O9" s="81"/>
      <c r="P9" s="24"/>
      <c r="Q9" s="623"/>
      <c r="R9" s="623"/>
      <c r="S9" s="623"/>
      <c r="T9" s="623"/>
      <c r="U9" s="623"/>
      <c r="V9" s="24"/>
      <c r="W9" s="24"/>
      <c r="X9" s="24"/>
      <c r="Y9" s="24"/>
    </row>
    <row r="10" spans="1:25" ht="15.75" customHeight="1" x14ac:dyDescent="0.25">
      <c r="A10" s="157" t="s">
        <v>364</v>
      </c>
      <c r="B10" s="110">
        <f>('Total TV Universe (RV)'!B10)/('Total TV Universe (RV)'!B48)*100</f>
        <v>0.81074536882112735</v>
      </c>
      <c r="C10" s="110">
        <f>('Total TV Universe (RV)'!C10)/('Total TV Universe (RV)'!C48)*100</f>
        <v>0.74906909013216394</v>
      </c>
      <c r="D10" s="110">
        <f>('Total TV Universe (RV)'!D10)/('Total TV Universe (RV)'!D48)*100</f>
        <v>0.71344577287001121</v>
      </c>
      <c r="E10" s="110">
        <f>('Total TV Universe (RV)'!E10)/('Total TV Universe (RV)'!E48)*100</f>
        <v>0.51706591460399587</v>
      </c>
      <c r="F10" s="110">
        <f>('Total TV Universe (RV)'!F10)/('Total TV Universe (RV)'!F48)*100</f>
        <v>0.58811229023994982</v>
      </c>
      <c r="G10" s="110">
        <v>0.67169387551623361</v>
      </c>
      <c r="H10" s="81" t="s">
        <v>330</v>
      </c>
      <c r="I10" s="81"/>
      <c r="J10" s="81"/>
      <c r="K10" s="81"/>
      <c r="L10" s="81"/>
      <c r="M10" s="81"/>
      <c r="N10" s="81"/>
      <c r="O10" s="81"/>
      <c r="P10" s="24"/>
      <c r="Q10" s="623"/>
      <c r="R10" s="623"/>
      <c r="S10" s="623"/>
      <c r="T10" s="623"/>
      <c r="U10" s="623"/>
      <c r="V10" s="24"/>
      <c r="W10" s="24"/>
      <c r="X10" s="24"/>
      <c r="Y10" s="24"/>
    </row>
    <row r="11" spans="1:25" ht="15.75" customHeight="1" x14ac:dyDescent="0.25">
      <c r="A11" s="243" t="s">
        <v>366</v>
      </c>
      <c r="B11" s="110">
        <f>('Total TV Universe (RV)'!B11)/('Total TV Universe (RV)'!B48)*100</f>
        <v>0.8542753215095098</v>
      </c>
      <c r="C11" s="110">
        <f>('Total TV Universe (RV)'!C11)/('Total TV Universe (RV)'!C48)*100</f>
        <v>0.72353264387765825</v>
      </c>
      <c r="D11" s="110">
        <f>('Total TV Universe (RV)'!D11)/('Total TV Universe (RV)'!D48)*100</f>
        <v>0.66636559496488357</v>
      </c>
      <c r="E11" s="110">
        <v>0.68485551603178263</v>
      </c>
      <c r="F11" s="81" t="s">
        <v>435</v>
      </c>
      <c r="G11" s="81"/>
      <c r="H11" s="81"/>
      <c r="I11" s="81"/>
      <c r="J11" s="81"/>
      <c r="K11" s="81"/>
      <c r="L11" s="81"/>
      <c r="M11" s="81"/>
      <c r="N11" s="81"/>
      <c r="O11" s="81"/>
      <c r="P11" s="24"/>
      <c r="Q11" s="623"/>
      <c r="R11" s="623"/>
      <c r="S11" s="623"/>
      <c r="T11" s="623"/>
      <c r="U11" s="623"/>
      <c r="V11" s="24"/>
      <c r="W11" s="24"/>
      <c r="X11" s="24"/>
      <c r="Y11" s="24"/>
    </row>
    <row r="12" spans="1:25" ht="15.75" customHeight="1" x14ac:dyDescent="0.25">
      <c r="A12" s="157" t="s">
        <v>369</v>
      </c>
      <c r="B12" s="110">
        <f>('Total TV Universe (RV)'!B12)/('Total TV Universe (RV)'!B48)*100</f>
        <v>0.88692278602579688</v>
      </c>
      <c r="C12" s="110">
        <f>('Total TV Universe (RV)'!C12)/('Total TV Universe (RV)'!C48)*100</f>
        <v>0.8171662801441788</v>
      </c>
      <c r="D12" s="81" t="s">
        <v>342</v>
      </c>
      <c r="E12" s="81"/>
      <c r="F12" s="81"/>
      <c r="G12" s="81"/>
      <c r="H12" s="81"/>
      <c r="I12" s="81"/>
      <c r="J12" s="81"/>
      <c r="K12" s="81"/>
      <c r="L12" s="81"/>
      <c r="M12" s="81"/>
      <c r="N12" s="81"/>
      <c r="O12" s="81"/>
      <c r="P12" s="24"/>
      <c r="Q12" s="623"/>
      <c r="R12" s="623"/>
      <c r="S12" s="623"/>
      <c r="T12" s="623"/>
      <c r="U12" s="623"/>
      <c r="V12" s="24"/>
      <c r="W12" s="24"/>
      <c r="X12" s="24"/>
      <c r="Y12" s="24"/>
    </row>
    <row r="13" spans="1:25" ht="15.75" customHeight="1" x14ac:dyDescent="0.25">
      <c r="A13" s="157" t="s">
        <v>370</v>
      </c>
      <c r="B13" s="110">
        <f>('Total TV Universe (RV)'!B13)/('Total TV Universe (RV)'!B48)*100</f>
        <v>0.23941473978610472</v>
      </c>
      <c r="C13" s="110">
        <f>('Total TV Universe (RV)'!C13)/('Total TV Universe (RV)'!C48)*100</f>
        <v>0.21705979316329746</v>
      </c>
      <c r="D13" s="81" t="s">
        <v>342</v>
      </c>
      <c r="E13" s="81"/>
      <c r="F13" s="81"/>
      <c r="G13" s="81"/>
      <c r="H13" s="81"/>
      <c r="I13" s="81"/>
      <c r="J13" s="81"/>
      <c r="K13" s="81"/>
      <c r="L13" s="81"/>
      <c r="M13" s="81"/>
      <c r="N13" s="81"/>
      <c r="O13" s="81"/>
      <c r="P13" s="24"/>
      <c r="Q13" s="623"/>
      <c r="R13" s="623"/>
      <c r="S13" s="623"/>
      <c r="T13" s="623"/>
      <c r="U13" s="623"/>
      <c r="V13" s="24"/>
      <c r="W13" s="24"/>
      <c r="X13" s="24"/>
      <c r="Y13" s="24"/>
    </row>
    <row r="14" spans="1:25" ht="15.75" customHeight="1" x14ac:dyDescent="0.25">
      <c r="A14" s="157" t="s">
        <v>371</v>
      </c>
      <c r="B14" s="110">
        <f>('Total TV Universe (RV)'!B14)/('Total TV Universe (RV)'!B48)*100</f>
        <v>0.30470966881867867</v>
      </c>
      <c r="C14" s="110">
        <f>('Total TV Universe (RV)'!C14)/('Total TV Universe (RV)'!C48)*100</f>
        <v>0.25962053692080678</v>
      </c>
      <c r="D14" s="81" t="s">
        <v>342</v>
      </c>
      <c r="E14" s="81"/>
      <c r="F14" s="81"/>
      <c r="G14" s="81"/>
      <c r="H14" s="81"/>
      <c r="I14" s="81"/>
      <c r="J14" s="81"/>
      <c r="K14" s="81"/>
      <c r="L14" s="81"/>
      <c r="M14" s="81"/>
      <c r="N14" s="81"/>
      <c r="O14" s="81"/>
      <c r="P14" s="24"/>
      <c r="Q14" s="24"/>
      <c r="R14" s="24"/>
      <c r="S14" s="24"/>
      <c r="T14" s="24"/>
      <c r="U14" s="24"/>
      <c r="V14" s="24"/>
      <c r="W14" s="24"/>
      <c r="X14" s="24"/>
      <c r="Y14" s="24"/>
    </row>
    <row r="15" spans="1:25" ht="15.75" customHeight="1" x14ac:dyDescent="0.25">
      <c r="A15" s="157" t="s">
        <v>373</v>
      </c>
      <c r="B15" s="277">
        <f>('Total TV Universe (RV)'!B15)/('Total TV Universe (RV)'!B48)*100</f>
        <v>0.48971196774430503</v>
      </c>
      <c r="C15" s="277">
        <f>('Total TV Universe (RV)'!C15)/('Total TV Universe (RV)'!C48)*100</f>
        <v>0.45114388382959869</v>
      </c>
      <c r="D15" s="81" t="s">
        <v>348</v>
      </c>
      <c r="E15" s="81"/>
      <c r="F15" s="81"/>
      <c r="G15" s="81"/>
      <c r="H15" s="81"/>
      <c r="I15" s="81"/>
      <c r="J15" s="81"/>
      <c r="K15" s="81"/>
      <c r="L15" s="81"/>
      <c r="M15" s="81"/>
      <c r="N15" s="81"/>
      <c r="O15" s="81"/>
      <c r="P15" s="24"/>
      <c r="Q15" s="24"/>
      <c r="R15" s="24"/>
      <c r="S15" s="24"/>
      <c r="T15" s="24"/>
      <c r="U15" s="24"/>
      <c r="V15" s="24"/>
      <c r="W15" s="24"/>
      <c r="X15" s="24"/>
      <c r="Y15" s="24"/>
    </row>
    <row r="16" spans="1:25" ht="15.75" customHeight="1" x14ac:dyDescent="0.25">
      <c r="A16" s="157" t="s">
        <v>376</v>
      </c>
      <c r="B16" s="110">
        <f>('Total TV Universe (RV)'!B16)/('Total TV Universe (RV)'!B48)*100</f>
        <v>4.0210793795893496</v>
      </c>
      <c r="C16" s="110">
        <f>('Total TV Universe (RV)'!C16)/('Total TV Universe (RV)'!C48)*100</f>
        <v>4.8093640445985519</v>
      </c>
      <c r="D16" s="110">
        <f>('Total TV Universe (RV)'!D16)/('Total TV Universe (RV)'!D48)*100</f>
        <v>4.6718022690472818</v>
      </c>
      <c r="E16" s="110">
        <f>('Total TV Universe (RV)'!E16)/('Total TV Universe (RV)'!E48)*100</f>
        <v>4.8761712741462926</v>
      </c>
      <c r="F16" s="110">
        <f>('Total TV Universe (RV)'!F16)/('Total TV Universe (RV)'!F48)*100</f>
        <v>5.0345976361450244</v>
      </c>
      <c r="G16" s="110">
        <f>('Total TV Universe (RV)'!G16)/('Total TV Universe (RV)'!G48)*100</f>
        <v>5.57820773182622</v>
      </c>
      <c r="H16" s="110">
        <f>('Total TV Universe (RV)'!H16)/('Total TV Universe (RV)'!H48)*100</f>
        <v>6.1175150886670187</v>
      </c>
      <c r="I16" s="110">
        <f>('Total TV Universe (RV)'!I16)/('Total TV Universe (RV)'!I48)*100</f>
        <v>8.4908087655802458</v>
      </c>
      <c r="J16" s="81" t="s">
        <v>381</v>
      </c>
      <c r="K16" s="81"/>
      <c r="L16" s="81"/>
      <c r="M16" s="81"/>
      <c r="N16" s="81"/>
      <c r="O16" s="81"/>
      <c r="P16" s="24"/>
      <c r="Q16" s="24"/>
      <c r="R16" s="24"/>
      <c r="S16" s="24"/>
      <c r="T16" s="24"/>
      <c r="U16" s="24"/>
      <c r="V16" s="24"/>
      <c r="W16" s="24"/>
      <c r="X16" s="24"/>
      <c r="Y16" s="24"/>
    </row>
    <row r="17" spans="1:25" ht="15.75" customHeight="1" x14ac:dyDescent="0.25">
      <c r="A17" s="157" t="s">
        <v>382</v>
      </c>
      <c r="B17" s="81"/>
      <c r="C17" s="81"/>
      <c r="D17" s="81"/>
      <c r="E17" s="81"/>
      <c r="F17" s="110">
        <f>('Total TV Universe (RV)'!F17)/('Total TV Universe (RV)'!F48)*100</f>
        <v>0.73068496666175586</v>
      </c>
      <c r="G17" s="110">
        <f>('Total TV Universe (RV)'!G17)/('Total TV Universe (RV)'!G48)*100</f>
        <v>2.0833005357808179</v>
      </c>
      <c r="H17" s="110">
        <f>('Total TV Universe (RV)'!H17)/('Total TV Universe (RV)'!H48)*100</f>
        <v>3.4750214174320671</v>
      </c>
      <c r="I17" s="110">
        <f>('Total TV Universe (RV)'!I17)/('Total TV Universe (RV)'!I48)*100</f>
        <v>6.5861342336837447</v>
      </c>
      <c r="J17" s="110">
        <f>('Total TV Universe (RV)'!J17)/('Total TV Universe (RV)'!J48)*100</f>
        <v>7.5194420690879173</v>
      </c>
      <c r="K17" s="110">
        <f>('Total TV Universe (RV)'!K17)/('Total TV Universe (RV)'!K48)*100</f>
        <v>21.40749456021959</v>
      </c>
      <c r="L17" s="110">
        <f>('Total TV Universe (RV)'!L17)/('Total TV Universe (RV)'!L48)*100</f>
        <v>21.922212615861405</v>
      </c>
      <c r="M17" s="110">
        <f>('Total TV Universe (RV)'!M17)/('Total TV Universe (RV)'!M48)*100</f>
        <v>20.514132872227499</v>
      </c>
      <c r="N17" s="110">
        <f>('Total TV Universe (RV)'!N17)/('Total TV Universe (RV)'!N48)*100</f>
        <v>20.746989011375337</v>
      </c>
      <c r="O17" s="110">
        <f>('Total TV Universe (RV)'!O17)/('Total TV Universe (RV)'!O48)*100</f>
        <v>21.243513465501128</v>
      </c>
      <c r="P17" s="24"/>
      <c r="Q17" s="24"/>
      <c r="R17" s="24"/>
      <c r="S17" s="24"/>
      <c r="T17" s="24"/>
      <c r="U17" s="24"/>
      <c r="V17" s="24"/>
      <c r="W17" s="24"/>
      <c r="X17" s="24"/>
      <c r="Y17" s="24"/>
    </row>
    <row r="18" spans="1:25" ht="15.75" customHeight="1" x14ac:dyDescent="0.25">
      <c r="A18" s="296" t="s">
        <v>238</v>
      </c>
      <c r="B18" s="97"/>
      <c r="C18" s="97"/>
      <c r="D18" s="97"/>
      <c r="E18" s="97"/>
      <c r="F18" s="97"/>
      <c r="G18" s="97"/>
      <c r="H18" s="97"/>
      <c r="I18" s="258">
        <f>('Total TV Universe (RV)'!I18)/('Total TV Universe (RV)'!I48)*100</f>
        <v>0.31524345572518919</v>
      </c>
      <c r="J18" s="258">
        <f>('Total TV Universe (RV)'!J18)/('Total TV Universe (RV)'!J48)*100</f>
        <v>0.98072433768680023</v>
      </c>
      <c r="K18" s="258">
        <f>('Total TV Universe (RV)'!K18)/('Total TV Universe (RV)'!K48)*100</f>
        <v>14.190163576577246</v>
      </c>
      <c r="L18" s="258">
        <f>('Total TV Universe (RV)'!L18)/('Total TV Universe (RV)'!L48)*100</f>
        <v>14.650006772576335</v>
      </c>
      <c r="M18" s="258">
        <f>('Total TV Universe (RV)'!M18)/('Total TV Universe (RV)'!M48)*100</f>
        <v>13.457944532476528</v>
      </c>
      <c r="N18" s="258">
        <f>('Total TV Universe (RV)'!N18)/('Total TV Universe (RV)'!N48)*100</f>
        <v>13.252046788926068</v>
      </c>
      <c r="O18" s="258">
        <f>('Total TV Universe (RV)'!O18)/('Total TV Universe (RV)'!O48)*100</f>
        <v>13.570014844136566</v>
      </c>
      <c r="P18" s="161"/>
      <c r="Q18" s="161"/>
      <c r="R18" s="161"/>
      <c r="S18" s="161"/>
      <c r="T18" s="161"/>
      <c r="U18" s="161"/>
      <c r="V18" s="161"/>
      <c r="W18" s="161"/>
      <c r="X18" s="161"/>
      <c r="Y18" s="161"/>
    </row>
    <row r="19" spans="1:25" ht="15.75" customHeight="1" x14ac:dyDescent="0.25">
      <c r="A19" s="296" t="s">
        <v>270</v>
      </c>
      <c r="B19" s="97"/>
      <c r="C19" s="97"/>
      <c r="D19" s="97"/>
      <c r="E19" s="97"/>
      <c r="F19" s="258">
        <f>('Total TV Universe (RV)'!F19)/('Total TV Universe (RV)'!F48)*100</f>
        <v>0.73068496666175586</v>
      </c>
      <c r="G19" s="258">
        <f>('Total TV Universe (RV)'!G19)/('Total TV Universe (RV)'!G48)*100</f>
        <v>2.0833005357808179</v>
      </c>
      <c r="H19" s="258">
        <f>('Total TV Universe (RV)'!H19)/('Total TV Universe (RV)'!H48)*100</f>
        <v>3.4750214174320671</v>
      </c>
      <c r="I19" s="258">
        <f>('Total TV Universe (RV)'!I19)/('Total TV Universe (RV)'!I48)*100</f>
        <v>6.2708907779585559</v>
      </c>
      <c r="J19" s="258">
        <f>('Total TV Universe (RV)'!J19)/('Total TV Universe (RV)'!J48)*100</f>
        <v>6.5387177314011167</v>
      </c>
      <c r="K19" s="258">
        <f>('Total TV Universe (RV)'!K19)/('Total TV Universe (RV)'!K48)*100</f>
        <v>7.2173309836423423</v>
      </c>
      <c r="L19" s="258">
        <f>('Total TV Universe (RV)'!L19)/('Total TV Universe (RV)'!L48)*100</f>
        <v>7.2722058432850663</v>
      </c>
      <c r="M19" s="258">
        <f>('Total TV Universe (RV)'!M19)/('Total TV Universe (RV)'!M48)*100</f>
        <v>7.0561883397509666</v>
      </c>
      <c r="N19" s="258">
        <f>('Total TV Universe (RV)'!N19)/('Total TV Universe (RV)'!N48)*100</f>
        <v>7.4949422224492688</v>
      </c>
      <c r="O19" s="258">
        <f>('Total TV Universe (RV)'!O19)/('Total TV Universe (RV)'!O48)*100</f>
        <v>7.6734986213645602</v>
      </c>
      <c r="P19" s="161"/>
      <c r="Q19" s="161"/>
      <c r="R19" s="161"/>
      <c r="S19" s="161"/>
      <c r="T19" s="161"/>
      <c r="U19" s="161"/>
      <c r="V19" s="161"/>
      <c r="W19" s="161"/>
      <c r="X19" s="161"/>
      <c r="Y19" s="161"/>
    </row>
    <row r="20" spans="1:25" ht="15.75" customHeight="1" x14ac:dyDescent="0.25">
      <c r="A20" s="157" t="s">
        <v>425</v>
      </c>
      <c r="B20" s="110">
        <f>('Total TV Universe (RV)'!B20)/('Total TV Universe (RV)'!B48)*100</f>
        <v>4.6141749849685629</v>
      </c>
      <c r="C20" s="110">
        <f>('Total TV Universe (RV)'!C20)/('Total TV Universe (RV)'!C48)*100</f>
        <v>6.0266013160633181</v>
      </c>
      <c r="D20" s="110">
        <f>('Total TV Universe (RV)'!D20)/('Total TV Universe (RV)'!D48)*100</f>
        <v>7.6921767592685475</v>
      </c>
      <c r="E20" s="110">
        <f>('Total TV Universe (RV)'!E20)/('Total TV Universe (RV)'!E48)*100</f>
        <v>8.35181301800759</v>
      </c>
      <c r="F20" s="110">
        <f>('Total TV Universe (RV)'!F20)/('Total TV Universe (RV)'!F48)*100</f>
        <v>9.6592988275773557</v>
      </c>
      <c r="G20" s="110">
        <f>('Total TV Universe (RV)'!G20)/('Total TV Universe (RV)'!G48)*100</f>
        <v>10.794330483881971</v>
      </c>
      <c r="H20" s="110">
        <f>('Total TV Universe (RV)'!H20)/('Total TV Universe (RV)'!H48)*100</f>
        <v>14.223931023236478</v>
      </c>
      <c r="I20" s="110">
        <f>('Total TV Universe (RV)'!I20)/('Total TV Universe (RV)'!I48)*100</f>
        <v>13.030692065095698</v>
      </c>
      <c r="J20" s="110">
        <f>('Total TV Universe (RV)'!J20)/('Total TV Universe (RV)'!J48)*100</f>
        <v>16.303751207319113</v>
      </c>
      <c r="K20" s="81" t="s">
        <v>16</v>
      </c>
      <c r="L20" s="81"/>
      <c r="M20" s="81"/>
      <c r="N20" s="81"/>
      <c r="O20" s="81"/>
      <c r="P20" s="24"/>
      <c r="Q20" s="24"/>
      <c r="R20" s="24"/>
      <c r="S20" s="24"/>
      <c r="T20" s="24"/>
      <c r="U20" s="24"/>
      <c r="V20" s="24"/>
      <c r="W20" s="24"/>
      <c r="X20" s="24"/>
      <c r="Y20" s="24"/>
    </row>
    <row r="21" spans="1:25" ht="15.75" customHeight="1" x14ac:dyDescent="0.25">
      <c r="A21" s="157" t="s">
        <v>436</v>
      </c>
      <c r="B21" s="81"/>
      <c r="C21" s="81"/>
      <c r="D21" s="81"/>
      <c r="E21" s="81"/>
      <c r="F21" s="110">
        <f>('Total TV Universe (RV)'!F21)/('Total TV Universe (RV)'!F48)*100</f>
        <v>0.53464753658177244</v>
      </c>
      <c r="G21" s="110">
        <f>('Total TV Universe (RV)'!G21)/('Total TV Universe (RV)'!G48)*100</f>
        <v>2.0255768433536421</v>
      </c>
      <c r="H21" s="110">
        <f>('Total TV Universe (RV)'!H21)/('Total TV Universe (RV)'!H48)*100</f>
        <v>2.32663363903416</v>
      </c>
      <c r="I21" s="110">
        <f>('Total TV Universe (RV)'!I21)/('Total TV Universe (RV)'!I48)*100</f>
        <v>4.5134557044247154</v>
      </c>
      <c r="J21" s="81" t="s">
        <v>439</v>
      </c>
      <c r="K21" s="81"/>
      <c r="L21" s="81"/>
      <c r="M21" s="81"/>
      <c r="N21" s="81"/>
      <c r="O21" s="81"/>
      <c r="P21" s="24"/>
      <c r="Q21" s="24"/>
      <c r="R21" s="24"/>
      <c r="S21" s="24"/>
      <c r="T21" s="24"/>
      <c r="U21" s="24"/>
      <c r="V21" s="24"/>
      <c r="W21" s="24"/>
      <c r="X21" s="24"/>
      <c r="Y21" s="24"/>
    </row>
    <row r="22" spans="1:25" ht="15.75" customHeight="1" x14ac:dyDescent="0.25">
      <c r="A22" s="157" t="s">
        <v>441</v>
      </c>
      <c r="B22" s="81"/>
      <c r="C22" s="81"/>
      <c r="D22" s="110">
        <f>('Total TV Universe (RV)'!D22)/('Total TV Universe (RV)'!D48)*100</f>
        <v>0.27161641099112099</v>
      </c>
      <c r="E22" s="110">
        <f>('Total TV Universe (RV)'!E22)/('Total TV Universe (RV)'!E48)*100</f>
        <v>0.30476070463414329</v>
      </c>
      <c r="F22" s="110">
        <f>('Total TV Universe (RV)'!F22)/('Total TV Universe (RV)'!F48)*100</f>
        <v>1.0306816399659726</v>
      </c>
      <c r="G22" s="81" t="s">
        <v>283</v>
      </c>
      <c r="H22" s="81"/>
      <c r="I22" s="81"/>
      <c r="J22" s="81"/>
      <c r="K22" s="81"/>
      <c r="L22" s="81"/>
      <c r="M22" s="81"/>
      <c r="N22" s="81"/>
      <c r="O22" s="81"/>
      <c r="P22" s="24"/>
      <c r="Q22" s="24"/>
      <c r="R22" s="24"/>
      <c r="S22" s="24"/>
      <c r="T22" s="24"/>
      <c r="U22" s="24"/>
      <c r="V22" s="24"/>
      <c r="W22" s="24"/>
      <c r="X22" s="24"/>
      <c r="Y22" s="24"/>
    </row>
    <row r="23" spans="1:25" ht="15.75" customHeight="1" x14ac:dyDescent="0.25">
      <c r="A23" s="157" t="s">
        <v>444</v>
      </c>
      <c r="B23" s="110">
        <f>('Total TV Universe (RV)'!B23)/('Total TV Universe (RV)'!B48)*100</f>
        <v>3.1776865462519353</v>
      </c>
      <c r="C23" s="110">
        <f>('Total TV Universe (RV)'!C23)/('Total TV Universe (RV)'!C48)*100</f>
        <v>3.085653922419425</v>
      </c>
      <c r="D23" s="110">
        <f>('Total TV Universe (RV)'!D23)/('Total TV Universe (RV)'!D48)*100</f>
        <v>5.2077919867364271</v>
      </c>
      <c r="E23" s="110">
        <f>('Total TV Universe (RV)'!E23)/('Total TV Universe (RV)'!E48)*100</f>
        <v>7.7902314948615272</v>
      </c>
      <c r="F23" s="110">
        <f>('Total TV Universe (RV)'!F23)/('Total TV Universe (RV)'!F48)*100</f>
        <v>9.139502611456189</v>
      </c>
      <c r="G23" s="81">
        <f>('Total TV Universe (RV)'!G23)/('Total TV Universe (RV)'!G48)*100</f>
        <v>10.358778986476915</v>
      </c>
      <c r="H23" s="81" t="s">
        <v>448</v>
      </c>
      <c r="I23" s="81"/>
      <c r="J23" s="81"/>
      <c r="K23" s="81"/>
      <c r="L23" s="81"/>
      <c r="M23" s="81"/>
      <c r="N23" s="81"/>
      <c r="O23" s="81"/>
      <c r="P23" s="24"/>
      <c r="Q23" s="24"/>
      <c r="R23" s="24"/>
      <c r="S23" s="24"/>
      <c r="T23" s="24"/>
      <c r="U23" s="24"/>
      <c r="V23" s="24"/>
      <c r="W23" s="24"/>
      <c r="X23" s="24"/>
      <c r="Y23" s="24"/>
    </row>
    <row r="24" spans="1:25" ht="15.75" customHeight="1" x14ac:dyDescent="0.25">
      <c r="A24" s="157" t="s">
        <v>449</v>
      </c>
      <c r="B24" s="81"/>
      <c r="C24" s="110">
        <f>('Total TV Universe (RV)'!C24)/('Total TV Universe (RV)'!C48)*100</f>
        <v>0.79588590826542394</v>
      </c>
      <c r="D24" s="110">
        <f>('Total TV Universe (RV)'!D24)/('Total TV Universe (RV)'!D48)*100</f>
        <v>0.69171645999072162</v>
      </c>
      <c r="E24" s="81" t="s">
        <v>285</v>
      </c>
      <c r="F24" s="81"/>
      <c r="G24" s="81"/>
      <c r="H24" s="81"/>
      <c r="I24" s="81"/>
      <c r="J24" s="81"/>
      <c r="K24" s="81"/>
      <c r="L24" s="81"/>
      <c r="M24" s="81"/>
      <c r="N24" s="81"/>
      <c r="O24" s="81"/>
      <c r="P24" s="24"/>
      <c r="Q24" s="24"/>
      <c r="R24" s="24"/>
      <c r="S24" s="24"/>
      <c r="T24" s="24"/>
      <c r="U24" s="24"/>
      <c r="V24" s="24"/>
      <c r="W24" s="24"/>
      <c r="X24" s="24"/>
      <c r="Y24" s="24"/>
    </row>
    <row r="25" spans="1:25" ht="15.75" customHeight="1" x14ac:dyDescent="0.25">
      <c r="A25" s="157" t="s">
        <v>452</v>
      </c>
      <c r="B25" s="110">
        <f>('Total TV Universe (RV)'!B25)/('Total TV Universe (RV)'!B48)*100</f>
        <v>44.123592418170489</v>
      </c>
      <c r="C25" s="110">
        <f>('Total TV Universe (RV)'!C25)/('Total TV Universe (RV)'!C48)*100</f>
        <v>41.807588835976425</v>
      </c>
      <c r="D25" s="110">
        <f>('Total TV Universe (RV)'!D25)/('Total TV Universe (RV)'!D48)*100</f>
        <v>38.495216110692013</v>
      </c>
      <c r="E25" s="110">
        <f>('Total TV Universe (RV)'!E25)/('Total TV Universe (RV)'!E48)*100</f>
        <v>36.236390208757648</v>
      </c>
      <c r="F25" s="110">
        <f>('Total TV Universe (RV)'!F25)/('Total TV Universe (RV)'!F48)*100</f>
        <v>33.160325350847586</v>
      </c>
      <c r="G25" s="110">
        <f>('Total TV Universe (RV)'!G25)/('Total TV Universe (RV)'!G48)*100</f>
        <v>31.400376778283302</v>
      </c>
      <c r="H25" s="110">
        <f>('Total TV Universe (RV)'!H25)/('Total TV Universe (RV)'!H48)*100</f>
        <v>28.844974540242944</v>
      </c>
      <c r="I25" s="110">
        <f>('Total TV Universe (RV)'!I25)/('Total TV Universe (RV)'!I48)*100</f>
        <v>23.223249185982876</v>
      </c>
      <c r="J25" s="110">
        <f>('Total TV Universe (RV)'!J25)/('Total TV Universe (RV)'!J48)*100</f>
        <v>21.938170708674569</v>
      </c>
      <c r="K25" s="110">
        <f>('Total TV Universe (RV)'!K25)/('Total TV Universe (RV)'!K48)*100</f>
        <v>20.686550215501224</v>
      </c>
      <c r="L25" s="110">
        <f>('Total TV Universe (RV)'!L25)/('Total TV Universe (RV)'!L48)*100</f>
        <v>20.66670289742126</v>
      </c>
      <c r="M25" s="110">
        <f>('Total TV Universe (RV)'!M25)/('Total TV Universe (RV)'!M48)*100</f>
        <v>20.806886482467984</v>
      </c>
      <c r="N25" s="110">
        <f>('Total TV Universe (RV)'!N25)/('Total TV Universe (RV)'!N48)*100</f>
        <v>19.332882351761782</v>
      </c>
      <c r="O25" s="110">
        <f>('Total TV Universe (RV)'!O25)/('Total TV Universe (RV)'!O48)*100</f>
        <v>19.632745065699051</v>
      </c>
      <c r="P25" s="24"/>
      <c r="Q25" s="24"/>
      <c r="R25" s="24"/>
      <c r="S25" s="24"/>
      <c r="T25" s="24"/>
      <c r="U25" s="24"/>
      <c r="V25" s="24"/>
      <c r="W25" s="24"/>
      <c r="X25" s="24"/>
      <c r="Y25" s="24"/>
    </row>
    <row r="26" spans="1:25" ht="15.75" customHeight="1" x14ac:dyDescent="0.25">
      <c r="A26" s="157" t="s">
        <v>467</v>
      </c>
      <c r="B26" s="110">
        <f>('Total TV Universe (RV)'!B26)/('Total TV Universe (RV)'!B48)*100</f>
        <v>0.8542753215095098</v>
      </c>
      <c r="C26" s="110">
        <f>('Total TV Universe (RV)'!C26)/('Total TV Universe (RV)'!C48)*100</f>
        <v>2.6302539642140754</v>
      </c>
      <c r="D26" s="110">
        <f>('Total TV Universe (RV)'!D26)/('Total TV Universe (RV)'!D48)*100</f>
        <v>3.3064771097985801</v>
      </c>
      <c r="E26" s="110">
        <f>('Total TV Universe (RV)'!E26)/('Total TV Universe (RV)'!E48)*100</f>
        <v>3.0373342136009556</v>
      </c>
      <c r="F26" s="110">
        <f>('Total TV Universe (RV)'!F26)/('Total TV Universe (RV)'!F48)*100</f>
        <v>5.0316273720529043</v>
      </c>
      <c r="G26" s="110">
        <f>('Total TV Universe (RV)'!G26)/('Total TV Universe (RV)'!G48)*100</f>
        <v>2.5713281172105815</v>
      </c>
      <c r="H26" s="110">
        <f>('Total TV Universe (RV)'!H26)/('Total TV Universe (RV)'!H48)*100</f>
        <v>3.4750214174320671</v>
      </c>
      <c r="I26" s="110">
        <f>('Total TV Universe (RV)'!I26)/('Total TV Universe (RV)'!I48)*100</f>
        <v>3.5035440348859357</v>
      </c>
      <c r="J26" s="110">
        <f>('Total TV Universe (RV)'!J26)/('Total TV Universe (RV)'!J48)*100</f>
        <v>7.6401589532697507</v>
      </c>
      <c r="K26" s="110">
        <f>('Total TV Universe (RV)'!K26)/('Total TV Universe (RV)'!K48)*100</f>
        <v>8.7982787768447643</v>
      </c>
      <c r="L26" s="110">
        <f>('Total TV Universe (RV)'!L26)/('Total TV Universe (RV)'!L48)*100</f>
        <v>9.9216174291631258</v>
      </c>
      <c r="M26" s="110">
        <f>('Total TV Universe (RV)'!M26)/('Total TV Universe (RV)'!M48)*100</f>
        <v>10.063001373408822</v>
      </c>
      <c r="N26" s="110">
        <f>('Total TV Universe (RV)'!N26)/('Total TV Universe (RV)'!N48)*100</f>
        <v>10.207509200216316</v>
      </c>
      <c r="O26" s="110">
        <f>('Total TV Universe (RV)'!O26)/('Total TV Universe (RV)'!O48)*100</f>
        <v>10.238330859310571</v>
      </c>
      <c r="P26" s="24"/>
      <c r="Q26" s="24"/>
      <c r="R26" s="24"/>
      <c r="S26" s="24"/>
      <c r="T26" s="24"/>
      <c r="U26" s="24"/>
      <c r="V26" s="24"/>
      <c r="W26" s="24"/>
      <c r="X26" s="24"/>
      <c r="Y26" s="24"/>
    </row>
    <row r="27" spans="1:25" ht="15.75" customHeight="1" x14ac:dyDescent="0.25">
      <c r="A27" s="157" t="s">
        <v>493</v>
      </c>
      <c r="B27" s="110">
        <f>('Total TV Universe (RV)'!B27)/('Total TV Universe (RV)'!B48)*100</f>
        <v>1.8908704086102242</v>
      </c>
      <c r="C27" s="110">
        <f>('Total TV Universe (RV)'!C27)/('Total TV Universe (RV)'!C48)*100</f>
        <v>2.0465418757285869</v>
      </c>
      <c r="D27" s="110">
        <f>('Total TV Universe (RV)'!D27)/('Total TV Universe (RV)'!D48)*100</f>
        <v>1.854792418063288</v>
      </c>
      <c r="E27" s="110">
        <f>('Total TV Universe (RV)'!E27)/('Total TV Universe (RV)'!E48)*100</f>
        <v>2.2945802475397357</v>
      </c>
      <c r="F27" s="81" t="s">
        <v>145</v>
      </c>
      <c r="G27" s="81"/>
      <c r="H27" s="81"/>
      <c r="I27" s="81"/>
      <c r="J27" s="81"/>
      <c r="K27" s="81"/>
      <c r="L27" s="81"/>
      <c r="M27" s="81"/>
      <c r="N27" s="81"/>
      <c r="O27" s="81"/>
      <c r="P27" s="24"/>
      <c r="Q27" s="24"/>
      <c r="R27" s="24"/>
      <c r="S27" s="24"/>
      <c r="T27" s="24"/>
      <c r="U27" s="24"/>
      <c r="V27" s="24"/>
      <c r="W27" s="24"/>
      <c r="X27" s="24"/>
      <c r="Y27" s="24"/>
    </row>
    <row r="28" spans="1:25" ht="15.75" customHeight="1" x14ac:dyDescent="0.25">
      <c r="A28" s="157" t="s">
        <v>504</v>
      </c>
      <c r="B28" s="110">
        <f>('Total TV Universe (RV)'!B28)/('Total TV Universe (RV)'!B48)*100</f>
        <v>5.1963881021756819</v>
      </c>
      <c r="C28" s="110">
        <f>('Total TV Universe (RV)'!C28)/('Total TV Universe (RV)'!C48)*100</f>
        <v>5.2264593334221434</v>
      </c>
      <c r="D28" s="81" t="s">
        <v>415</v>
      </c>
      <c r="E28" s="81"/>
      <c r="F28" s="81"/>
      <c r="G28" s="81"/>
      <c r="H28" s="81"/>
      <c r="I28" s="81"/>
      <c r="J28" s="81"/>
      <c r="K28" s="81"/>
      <c r="L28" s="81"/>
      <c r="M28" s="81"/>
      <c r="N28" s="81"/>
      <c r="O28" s="81"/>
      <c r="P28" s="24"/>
      <c r="Q28" s="24"/>
      <c r="R28" s="24"/>
      <c r="S28" s="24"/>
      <c r="T28" s="24"/>
      <c r="U28" s="24"/>
      <c r="V28" s="24"/>
      <c r="W28" s="24"/>
      <c r="X28" s="24"/>
      <c r="Y28" s="24"/>
    </row>
    <row r="29" spans="1:25" ht="15.75" customHeight="1" x14ac:dyDescent="0.25">
      <c r="A29" s="157" t="s">
        <v>510</v>
      </c>
      <c r="B29" s="81"/>
      <c r="C29" s="81"/>
      <c r="D29" s="81"/>
      <c r="E29" s="81"/>
      <c r="F29" s="81"/>
      <c r="G29" s="110">
        <f>('Total TV Universe (RV)'!G29)/('Total TV Universe (RV)'!G48)*100</f>
        <v>0.1626758604765878</v>
      </c>
      <c r="H29" s="110">
        <f>('Total TV Universe (RV)'!H29)/('Total TV Universe (RV)'!H48)*100</f>
        <v>5.3560805984478392</v>
      </c>
      <c r="I29" s="110">
        <f>('Total TV Universe (RV)'!I29)/('Total TV Universe (RV)'!I48)*100</f>
        <v>5.1194027061479828</v>
      </c>
      <c r="J29" s="110">
        <f>('Total TV Universe (RV)'!J29)/('Total TV Universe (RV)'!J48)*100</f>
        <v>5.4240383127871592</v>
      </c>
      <c r="K29" s="110">
        <f>('Total TV Universe (RV)'!K29)/('Total TV Universe (RV)'!K48)*100</f>
        <v>5.4760649661886003</v>
      </c>
      <c r="L29" s="110">
        <f>('Total TV Universe (RV)'!L29)/('Total TV Universe (RV)'!L48)*100</f>
        <v>5.2263323285276089</v>
      </c>
      <c r="M29" s="110">
        <f>('Total TV Universe (RV)'!M29)/('Total TV Universe (RV)'!M48)*100</f>
        <v>5.2724496030975736</v>
      </c>
      <c r="N29" s="110">
        <f>('Total TV Universe (RV)'!N29)/('Total TV Universe (RV)'!N48)*100</f>
        <v>5.2197958388298433</v>
      </c>
      <c r="O29" s="110">
        <f>('Total TV Universe (RV)'!O29)/('Total TV Universe (RV)'!O48)*100</f>
        <v>5.3919951619110451</v>
      </c>
      <c r="P29" s="24"/>
      <c r="Q29" s="24"/>
      <c r="R29" s="24"/>
      <c r="S29" s="24"/>
      <c r="T29" s="24"/>
      <c r="U29" s="24"/>
      <c r="V29" s="24"/>
      <c r="W29" s="24"/>
      <c r="X29" s="24"/>
      <c r="Y29" s="24"/>
    </row>
    <row r="30" spans="1:25" ht="15.75" customHeight="1" x14ac:dyDescent="0.25">
      <c r="A30" s="157" t="s">
        <v>530</v>
      </c>
      <c r="B30" s="277">
        <f>('Total TV Universe (RV)'!B30)/('Total TV Universe (RV)'!B48)*100</f>
        <v>4.8590309688407158</v>
      </c>
      <c r="C30" s="277">
        <f>('Total TV Universe (RV)'!C30)/('Total TV Universe (RV)'!C48)*100</f>
        <v>4.2943790451326898</v>
      </c>
      <c r="D30" s="277">
        <f>('Total TV Universe (RV)'!D30)/('Total TV Universe (RV)'!D48)*100</f>
        <v>5.023092827262464</v>
      </c>
      <c r="E30" s="277">
        <f>('Total TV Universe (RV)'!E30)/('Total TV Universe (RV)'!E48)*100</f>
        <v>5.7185435588653855</v>
      </c>
      <c r="F30" s="277">
        <f>('Total TV Universe (RV)'!F30)/('Total TV Universe (RV)'!F48)*100</f>
        <v>6.2731977625594642</v>
      </c>
      <c r="G30" s="110">
        <f>('Total TV Universe (RV)'!G30)/('Total TV Universe (RV)'!G48)*100</f>
        <v>6.4834201812523959</v>
      </c>
      <c r="H30" s="81" t="s">
        <v>294</v>
      </c>
      <c r="I30" s="81"/>
      <c r="J30" s="81"/>
      <c r="K30" s="81"/>
      <c r="L30" s="81"/>
      <c r="M30" s="81"/>
      <c r="N30" s="81"/>
      <c r="O30" s="81"/>
      <c r="P30" s="24"/>
      <c r="Q30" s="24"/>
      <c r="R30" s="24"/>
      <c r="S30" s="24"/>
      <c r="T30" s="24"/>
      <c r="U30" s="24"/>
      <c r="V30" s="24"/>
      <c r="W30" s="24"/>
      <c r="X30" s="24"/>
      <c r="Y30" s="24"/>
    </row>
    <row r="31" spans="1:25" ht="15.75" customHeight="1" x14ac:dyDescent="0.25">
      <c r="A31" s="157" t="s">
        <v>535</v>
      </c>
      <c r="B31" s="291">
        <f>('Total TV Universe (RV)'!B31)/('Total TV Universe (RV)'!B48)*100</f>
        <v>4.6141749849685629</v>
      </c>
      <c r="C31" s="81" t="s">
        <v>399</v>
      </c>
      <c r="D31" s="81"/>
      <c r="E31" s="81"/>
      <c r="F31" s="81"/>
      <c r="G31" s="81"/>
      <c r="H31" s="81"/>
      <c r="I31" s="81"/>
      <c r="J31" s="81"/>
      <c r="K31" s="81"/>
      <c r="L31" s="81"/>
      <c r="M31" s="81"/>
      <c r="N31" s="81"/>
      <c r="O31" s="81"/>
      <c r="P31" s="24"/>
      <c r="Q31" s="24"/>
      <c r="R31" s="24"/>
      <c r="S31" s="24"/>
      <c r="T31" s="24"/>
      <c r="U31" s="24"/>
      <c r="V31" s="24"/>
      <c r="W31" s="24"/>
      <c r="X31" s="24"/>
      <c r="Y31" s="24"/>
    </row>
    <row r="32" spans="1:25" ht="15.75" customHeight="1" x14ac:dyDescent="0.25">
      <c r="A32" s="157" t="s">
        <v>536</v>
      </c>
      <c r="B32" s="291">
        <f>('Total TV Universe (RV)'!B32)/('Total TV Universe (RV)'!B48)*100</f>
        <v>0.9250114946281317</v>
      </c>
      <c r="C32" s="291">
        <f>('Total TV Universe (RV)'!C32)/('Total TV Universe (RV)'!C48)*100</f>
        <v>0.85121487515018612</v>
      </c>
      <c r="D32" s="81" t="s">
        <v>403</v>
      </c>
      <c r="E32" s="81"/>
      <c r="F32" s="81"/>
      <c r="G32" s="81"/>
      <c r="H32" s="81"/>
      <c r="I32" s="81"/>
      <c r="J32" s="81"/>
      <c r="K32" s="81"/>
      <c r="L32" s="81"/>
      <c r="M32" s="81"/>
      <c r="N32" s="81"/>
      <c r="O32" s="81"/>
      <c r="P32" s="24"/>
      <c r="Q32" s="24"/>
      <c r="R32" s="24"/>
      <c r="S32" s="24"/>
      <c r="T32" s="24"/>
      <c r="U32" s="24"/>
      <c r="V32" s="24"/>
      <c r="W32" s="24"/>
      <c r="X32" s="24"/>
      <c r="Y32" s="24"/>
    </row>
    <row r="33" spans="1:25" ht="15.75" customHeight="1" x14ac:dyDescent="0.25">
      <c r="A33" s="157" t="s">
        <v>404</v>
      </c>
      <c r="B33" s="81"/>
      <c r="C33" s="81"/>
      <c r="D33" s="81"/>
      <c r="E33" s="81"/>
      <c r="F33" s="81"/>
      <c r="G33" s="81"/>
      <c r="H33" s="81"/>
      <c r="I33" s="81"/>
      <c r="J33" s="110">
        <f>('Total TV Universe (RV)'!J33)/('Total TV Universe (RV)'!J48)*100</f>
        <v>1.5454317385806513</v>
      </c>
      <c r="K33" s="110">
        <f>('Total TV Universe (RV)'!K33)/('Total TV Universe (RV)'!K48)*100</f>
        <v>0.89840556959203377</v>
      </c>
      <c r="L33" s="110">
        <f>('Total TV Universe (RV)'!L33)/('Total TV Universe (RV)'!L48)*100</f>
        <v>0.91726339363179199</v>
      </c>
      <c r="M33" s="110">
        <f>('Total TV Universe (RV)'!M33)/('Total TV Universe (RV)'!M48)*100</f>
        <v>0.99086857752693824</v>
      </c>
      <c r="N33" s="110">
        <f>('Total TV Universe (RV)'!N33)/('Total TV Universe (RV)'!N48)*100</f>
        <v>1.0560439358221914</v>
      </c>
      <c r="O33" s="110">
        <f>('Total TV Universe (RV)'!O33)/('Total TV Universe (RV)'!O48)*100</f>
        <v>0.61025894771565226</v>
      </c>
      <c r="P33" s="24"/>
      <c r="Q33" s="24"/>
      <c r="R33" s="24"/>
      <c r="S33" s="24"/>
      <c r="T33" s="24"/>
      <c r="U33" s="24"/>
      <c r="V33" s="24"/>
      <c r="W33" s="24"/>
      <c r="X33" s="24"/>
      <c r="Y33" s="24"/>
    </row>
    <row r="34" spans="1:25" ht="15.75" customHeight="1" x14ac:dyDescent="0.25">
      <c r="A34" s="157" t="s">
        <v>414</v>
      </c>
      <c r="B34" s="81"/>
      <c r="C34" s="81"/>
      <c r="D34" s="81"/>
      <c r="E34" s="81"/>
      <c r="F34" s="81"/>
      <c r="G34" s="81"/>
      <c r="H34" s="81"/>
      <c r="I34" s="81"/>
      <c r="J34" s="81"/>
      <c r="K34" s="81"/>
      <c r="L34" s="81"/>
      <c r="M34" s="110">
        <f>('Total TV Universe (RV)'!M34)/('Total TV Universe (RV)'!M48)*100</f>
        <v>0.83926027058292574</v>
      </c>
      <c r="N34" s="110">
        <f>('Total TV Universe (RV)'!N34)/('Total TV Universe (RV)'!N48)*100</f>
        <v>0.80885549830854442</v>
      </c>
      <c r="O34" s="110">
        <f>('Total TV Universe (RV)'!O34)/('Total TV Universe (RV)'!O48)*100</f>
        <v>0.8055074495574247</v>
      </c>
      <c r="P34" s="24"/>
      <c r="Q34" s="24"/>
      <c r="R34" s="24"/>
      <c r="S34" s="24"/>
      <c r="T34" s="24"/>
      <c r="U34" s="24"/>
      <c r="V34" s="24"/>
      <c r="W34" s="24"/>
      <c r="X34" s="24"/>
      <c r="Y34" s="24"/>
    </row>
    <row r="35" spans="1:25" ht="15.75" customHeight="1" x14ac:dyDescent="0.25">
      <c r="A35" s="157" t="s">
        <v>295</v>
      </c>
      <c r="B35" s="81"/>
      <c r="C35" s="81"/>
      <c r="D35" s="291">
        <f>('Total TV Universe (RV)'!D35)/('Total TV Universe (RV)'!D48)*100</f>
        <v>0.52150350910295229</v>
      </c>
      <c r="E35" s="291">
        <f>('Total TV Universe (RV)'!E35)/('Total TV Universe (RV)'!E48)*100</f>
        <v>0.60952140926828657</v>
      </c>
      <c r="F35" s="291">
        <f>('Total TV Universe (RV)'!F35)/('Total TV Universe (RV)'!F48)*100</f>
        <v>0.73365523075387673</v>
      </c>
      <c r="G35" s="291">
        <f>('Total TV Universe (RV)'!G35)/('Total TV Universe (RV)'!G48)*100</f>
        <v>0.7451603931508215</v>
      </c>
      <c r="H35" s="291">
        <f>('Total TV Universe (RV)'!H35)/('Total TV Universe (RV)'!H48)*100</f>
        <v>0.73956172928825226</v>
      </c>
      <c r="I35" s="291">
        <f>('Total TV Universe (RV)'!I35)/('Total TV Universe (RV)'!I48)*100</f>
        <v>0.74186034790418776</v>
      </c>
      <c r="J35" s="291">
        <f>('Total TV Universe (RV)'!J35)/('Total TV Universe (RV)'!J48)*100</f>
        <v>0.77983402980579442</v>
      </c>
      <c r="K35" s="291">
        <f>('Total TV Universe (RV)'!K35)/('Total TV Universe (RV)'!K48)*100</f>
        <v>0.68214962473062346</v>
      </c>
      <c r="L35" s="291">
        <f>('Total TV Universe (RV)'!L35)/('Total TV Universe (RV)'!L48)*100</f>
        <v>0.67725763349354873</v>
      </c>
      <c r="M35" s="291">
        <f>('Total TV Universe (RV)'!M35)/('Total TV Universe (RV)'!M48)*100</f>
        <v>0.68223738124805577</v>
      </c>
      <c r="N35" s="110">
        <f>('Total TV Universe (RV)'!N35)/('Total TV Universe (RV)'!N48)*100</f>
        <v>0.69762070142740329</v>
      </c>
      <c r="O35" s="110">
        <f>('Total TV Universe (RV)'!O35)/('Total TV Universe (RV)'!O48)*100</f>
        <v>0.65286711748859194</v>
      </c>
      <c r="P35" s="24"/>
      <c r="Q35" s="24"/>
      <c r="R35" s="24"/>
      <c r="S35" s="24"/>
      <c r="T35" s="24"/>
      <c r="U35" s="24"/>
      <c r="V35" s="24"/>
      <c r="W35" s="24"/>
      <c r="X35" s="24"/>
      <c r="Y35" s="24"/>
    </row>
    <row r="36" spans="1:25" ht="15.75" customHeight="1" x14ac:dyDescent="0.25">
      <c r="A36" s="157" t="s">
        <v>566</v>
      </c>
      <c r="B36" s="291">
        <f>('Total TV Universe (RV)'!B36)/('Total TV Universe (RV)'!B48)*100</f>
        <v>0.38088708602334836</v>
      </c>
      <c r="C36" s="291">
        <f>('Total TV Universe (RV)'!C36)/('Total TV Universe (RV)'!C48)*100</f>
        <v>0.48944855321135705</v>
      </c>
      <c r="D36" s="291">
        <f>('Total TV Universe (RV)'!D36)/('Total TV Universe (RV)'!D48)*100</f>
        <v>0.50339574837021095</v>
      </c>
      <c r="E36" s="291">
        <f>('Total TV Universe (RV)'!E36)/('Total TV Universe (RV)'!E48)*100</f>
        <v>0.54446013524526726</v>
      </c>
      <c r="F36" s="291">
        <f>('Total TV Universe (RV)'!F36)/('Total TV Universe (RV)'!F48)*100</f>
        <v>0.5168259520290468</v>
      </c>
      <c r="G36" s="291">
        <f>('Total TV Universe (RV)'!G36)/('Total TV Universe (RV)'!G48)*100</f>
        <v>0.46178953941741058</v>
      </c>
      <c r="H36" s="291">
        <f>('Total TV Universe (RV)'!H36)/('Total TV Universe (RV)'!H48)*100</f>
        <v>0.49150996915430423</v>
      </c>
      <c r="I36" s="291">
        <f>('Total TV Universe (RV)'!I36)/('Total TV Universe (RV)'!I48)*100</f>
        <v>0.61349774317776351</v>
      </c>
      <c r="J36" s="291">
        <f>('Total TV Universe (RV)'!J36)/('Total TV Universe (RV)'!J48)*100</f>
        <v>0.53939838572774013</v>
      </c>
      <c r="K36" s="291">
        <f>('Total TV Universe (RV)'!K36)/('Total TV Universe (RV)'!K48)*100</f>
        <v>0.55297661068588844</v>
      </c>
      <c r="L36" s="291">
        <f>('Total TV Universe (RV)'!L36)/('Total TV Universe (RV)'!L48)*100</f>
        <v>0.53932328858651235</v>
      </c>
      <c r="M36" s="291">
        <f>('Total TV Universe (RV)'!M36)/('Total TV Universe (RV)'!M48)*100</f>
        <v>0.54281188468347297</v>
      </c>
      <c r="N36" s="110">
        <f>('Total TV Universe (RV)'!N36)/('Total TV Universe (RV)'!N48)*100</f>
        <v>0.54792750347643071</v>
      </c>
      <c r="O36" s="110">
        <f>('Total TV Universe (RV)'!O36)/('Total TV Universe (RV)'!O48)*100</f>
        <v>0.52366815108032327</v>
      </c>
      <c r="P36" s="24"/>
      <c r="Q36" s="24"/>
      <c r="R36" s="24"/>
      <c r="S36" s="24"/>
      <c r="T36" s="24"/>
      <c r="U36" s="24"/>
      <c r="V36" s="24"/>
      <c r="W36" s="24"/>
      <c r="X36" s="24"/>
      <c r="Y36" s="24"/>
    </row>
    <row r="37" spans="1:25" ht="15.75" customHeight="1" x14ac:dyDescent="0.25">
      <c r="A37" s="157" t="s">
        <v>298</v>
      </c>
      <c r="B37" s="81"/>
      <c r="C37" s="81"/>
      <c r="D37" s="81"/>
      <c r="E37" s="81"/>
      <c r="F37" s="81"/>
      <c r="G37" s="81"/>
      <c r="H37" s="81"/>
      <c r="I37" s="81"/>
      <c r="J37" s="81"/>
      <c r="K37" s="291">
        <f>('Total TV Universe (RV)'!K37)/('Total TV Universe (RV)'!K48)*100</f>
        <v>0.33091513710336629</v>
      </c>
      <c r="L37" s="291">
        <f>('Total TV Universe (RV)'!L37)/('Total TV Universe (RV)'!L48)*100</f>
        <v>0.35724995330922427</v>
      </c>
      <c r="M37" s="291">
        <f>('Total TV Universe (RV)'!M37)/('Total TV Universe (RV)'!M48)*100</f>
        <v>0.3871426409463174</v>
      </c>
      <c r="N37" s="110">
        <f>('Total TV Universe (RV)'!N37)/('Total TV Universe (RV)'!N48)*100</f>
        <v>0.46004514759484277</v>
      </c>
      <c r="O37" s="110">
        <f>('Total TV Universe (RV)'!O37)/('Total TV Universe (RV)'!O48)*100</f>
        <v>0.46429160481609766</v>
      </c>
      <c r="P37" s="24"/>
      <c r="Q37" s="24"/>
      <c r="R37" s="24"/>
      <c r="S37" s="24"/>
      <c r="T37" s="24"/>
      <c r="U37" s="24"/>
      <c r="V37" s="24"/>
      <c r="W37" s="24"/>
      <c r="X37" s="24"/>
      <c r="Y37" s="24"/>
    </row>
    <row r="38" spans="1:25" ht="15.75" customHeight="1" x14ac:dyDescent="0.25">
      <c r="A38" s="157" t="s">
        <v>574</v>
      </c>
      <c r="B38" s="81"/>
      <c r="C38" s="291">
        <f>('Total TV Universe (RV)'!C38)/('Total TV Universe (RV)'!C48)*100</f>
        <v>9.3633636266520492E-2</v>
      </c>
      <c r="D38" s="291">
        <f>('Total TV Universe (RV)'!D38)/('Total TV Universe (RV)'!D48)*100</f>
        <v>0.14124053371538292</v>
      </c>
      <c r="E38" s="291">
        <f>('Total TV Universe (RV)'!E38)/('Total TV Universe (RV)'!E48)*100</f>
        <v>0.12669827046587978</v>
      </c>
      <c r="F38" s="291">
        <f>('Total TV Universe (RV)'!F38)/('Total TV Universe (RV)'!F48)*100</f>
        <v>0.4485098779102647</v>
      </c>
      <c r="G38" s="291">
        <f>('Total TV Universe (RV)'!G38)/('Total TV Universe (RV)'!G48)*100</f>
        <v>0.50114660243593989</v>
      </c>
      <c r="H38" s="291">
        <f>('Total TV Universe (RV)'!H38)/('Total TV Universe (RV)'!H48)*100</f>
        <v>0.50758739805187492</v>
      </c>
      <c r="I38" s="291">
        <f>('Total TV Universe (RV)'!I38)/('Total TV Universe (RV)'!I48)*100</f>
        <v>0.46437059945147635</v>
      </c>
      <c r="J38" s="291">
        <f>('Total TV Universe (RV)'!J38)/('Total TV Universe (RV)'!J48)*100</f>
        <v>0.45556227298999763</v>
      </c>
      <c r="K38" s="291">
        <f>('Total TV Universe (RV)'!K38)/('Total TV Universe (RV)'!K48)*100</f>
        <v>0.5108865274578287</v>
      </c>
      <c r="L38" s="291">
        <f>('Total TV Universe (RV)'!L38)/('Total TV Universe (RV)'!L48)*100</f>
        <v>0.49242561131811996</v>
      </c>
      <c r="M38" s="291">
        <f>('Total TV Universe (RV)'!M38)/('Total TV Universe (RV)'!M48)*100</f>
        <v>0.48731241517718271</v>
      </c>
      <c r="N38" s="110">
        <f>('Total TV Universe (RV)'!N38)/('Total TV Universe (RV)'!N48)*100</f>
        <v>0.45180553301105447</v>
      </c>
      <c r="O38" s="110">
        <f>('Total TV Universe (RV)'!O38)/('Total TV Universe (RV)'!O48)*100</f>
        <v>0.42745615481884658</v>
      </c>
      <c r="P38" s="24"/>
      <c r="Q38" s="24"/>
      <c r="R38" s="24"/>
      <c r="S38" s="24"/>
      <c r="T38" s="24"/>
      <c r="U38" s="24"/>
      <c r="V38" s="24"/>
      <c r="W38" s="24"/>
      <c r="X38" s="24"/>
      <c r="Y38" s="24"/>
    </row>
    <row r="39" spans="1:25" ht="15.75" customHeight="1" x14ac:dyDescent="0.25">
      <c r="A39" s="157" t="s">
        <v>579</v>
      </c>
      <c r="B39" s="81"/>
      <c r="C39" s="291">
        <f>('Total TV Universe (RV)'!C39)/('Total TV Universe (RV)'!C48)*100</f>
        <v>0</v>
      </c>
      <c r="D39" s="291">
        <f>('Total TV Universe (RV)'!D39)/('Total TV Universe (RV)'!D48)*100</f>
        <v>0</v>
      </c>
      <c r="E39" s="291">
        <f>('Total TV Universe (RV)'!E39)/('Total TV Universe (RV)'!E48)*100</f>
        <v>0</v>
      </c>
      <c r="F39" s="291">
        <f>('Total TV Universe (RV)'!F39)/('Total TV Universe (RV)'!F48)*100</f>
        <v>0</v>
      </c>
      <c r="G39" s="291">
        <f>('Total TV Universe (RV)'!G39)/('Total TV Universe (RV)'!G48)*100</f>
        <v>0.89209342841999761</v>
      </c>
      <c r="H39" s="291">
        <f>('Total TV Universe (RV)'!H39)/('Total TV Universe (RV)'!H48)*100</f>
        <v>1.0565167561260744</v>
      </c>
      <c r="I39" s="110">
        <v>1.1967925205375447</v>
      </c>
      <c r="J39" s="81" t="s">
        <v>675</v>
      </c>
      <c r="K39" s="81"/>
      <c r="L39" s="81"/>
      <c r="M39" s="81"/>
      <c r="N39" s="81"/>
      <c r="O39" s="81"/>
      <c r="P39" s="24"/>
      <c r="Q39" s="24"/>
      <c r="R39" s="24"/>
      <c r="S39" s="24"/>
      <c r="T39" s="24"/>
      <c r="U39" s="24"/>
      <c r="V39" s="24"/>
      <c r="W39" s="24"/>
      <c r="X39" s="24"/>
      <c r="Y39" s="24"/>
    </row>
    <row r="40" spans="1:25" ht="15.75" customHeight="1" x14ac:dyDescent="0.25">
      <c r="A40" s="157" t="s">
        <v>581</v>
      </c>
      <c r="B40" s="81"/>
      <c r="C40" s="81"/>
      <c r="D40" s="81"/>
      <c r="E40" s="81"/>
      <c r="F40" s="81"/>
      <c r="G40" s="291">
        <f>('Total TV Universe (RV)'!G40)/('Total TV Universe (RV)'!G48)*100</f>
        <v>0.7687746309619391</v>
      </c>
      <c r="H40" s="291">
        <f>('Total TV Universe (RV)'!H40)/('Total TV Universe (RV)'!H48)*100</f>
        <v>0.85440050712804294</v>
      </c>
      <c r="I40" s="291">
        <f>('Total TV Universe (RV)'!I40)/('Total TV Universe (RV)'!I48)*100</f>
        <v>2.133084460894993</v>
      </c>
      <c r="J40" s="291"/>
      <c r="K40" s="81" t="s">
        <v>678</v>
      </c>
      <c r="L40" s="291">
        <f>('Total TV Universe (RV)'!L40)/('Total TV Universe (RV)'!L48)*100</f>
        <v>0.26621328567058022</v>
      </c>
      <c r="M40" s="291">
        <f>('Total TV Universe (RV)'!M40)/('Total TV Universe (RV)'!M48)*100</f>
        <v>0.28968015791088081</v>
      </c>
      <c r="N40" s="110">
        <f>('Total TV Universe (RV)'!N40)/('Total TV Universe (RV)'!N48)*100</f>
        <v>0.2705340121677135</v>
      </c>
      <c r="O40" s="110">
        <f>('Total TV Universe (RV)'!O40)/('Total TV Universe (RV)'!O48)*100</f>
        <v>0.24190444774314146</v>
      </c>
      <c r="P40" s="24"/>
      <c r="Q40" s="24"/>
      <c r="R40" s="24"/>
      <c r="S40" s="24"/>
      <c r="T40" s="24"/>
      <c r="U40" s="24"/>
      <c r="V40" s="24"/>
      <c r="W40" s="24"/>
      <c r="X40" s="24"/>
      <c r="Y40" s="24"/>
    </row>
    <row r="41" spans="1:25" ht="15.75" customHeight="1" x14ac:dyDescent="0.25">
      <c r="A41" s="157" t="s">
        <v>586</v>
      </c>
      <c r="B41" s="291">
        <f>('Total TV Universe (RV)'!B41)/('Total TV Universe (RV)'!B48)*100</f>
        <v>3.0144492236704998</v>
      </c>
      <c r="C41" s="291">
        <f>('Total TV Universe (RV)'!C41)/('Total TV Universe (RV)'!C48)*100</f>
        <v>2.8685941292561279</v>
      </c>
      <c r="D41" s="291">
        <f>('Total TV Universe (RV)'!D41)/('Total TV Universe (RV)'!D48)*100</f>
        <v>4.2842961893666152</v>
      </c>
      <c r="E41" s="291">
        <f>('Total TV Universe (RV)'!E41)/('Total TV Universe (RV)'!E48)*100</f>
        <v>3.6126128470676533</v>
      </c>
      <c r="F41" s="291">
        <f>('Total TV Universe (RV)'!F41)/('Total TV Universe (RV)'!F48)*100</f>
        <v>1.9336419239707439</v>
      </c>
      <c r="G41" s="81" t="s">
        <v>588</v>
      </c>
      <c r="H41" s="81"/>
      <c r="I41" s="81"/>
      <c r="J41" s="81"/>
      <c r="K41" s="81"/>
      <c r="L41" s="81"/>
      <c r="M41" s="81"/>
      <c r="N41" s="81"/>
      <c r="O41" s="81"/>
      <c r="P41" s="11"/>
      <c r="Q41" s="11"/>
      <c r="R41" s="11"/>
      <c r="S41" s="11"/>
      <c r="T41" s="11"/>
      <c r="U41" s="11"/>
      <c r="V41" s="11"/>
      <c r="W41" s="11"/>
      <c r="X41" s="11"/>
      <c r="Y41" s="11"/>
    </row>
    <row r="42" spans="1:25" ht="15.75" customHeight="1" x14ac:dyDescent="0.25">
      <c r="A42" s="243" t="s">
        <v>303</v>
      </c>
      <c r="B42" s="81"/>
      <c r="C42" s="81"/>
      <c r="D42" s="81"/>
      <c r="E42" s="81"/>
      <c r="F42" s="81"/>
      <c r="G42" s="81"/>
      <c r="H42" s="81"/>
      <c r="I42" s="81"/>
      <c r="J42" s="81"/>
      <c r="K42" s="81"/>
      <c r="L42" s="81"/>
      <c r="M42" s="81"/>
      <c r="N42" s="148">
        <f>('Total TV Universe (RV)'!N42)/('Total TV Universe (RV)'!N48)*100</f>
        <v>1.0505508594329991</v>
      </c>
      <c r="O42" s="110">
        <f>('Total TV Universe (RV)'!O42)/('Total TV Universe (RV)'!O48)*100</f>
        <v>1.1160591566331299</v>
      </c>
      <c r="P42" s="11"/>
      <c r="Q42" s="11"/>
      <c r="R42" s="11"/>
      <c r="S42" s="11"/>
      <c r="T42" s="11"/>
      <c r="U42" s="11"/>
      <c r="V42" s="11"/>
      <c r="W42" s="11"/>
      <c r="X42" s="11"/>
      <c r="Y42" s="11"/>
    </row>
    <row r="43" spans="1:25" ht="15.75" customHeight="1" x14ac:dyDescent="0.25">
      <c r="A43" s="243" t="s">
        <v>590</v>
      </c>
      <c r="B43" s="81"/>
      <c r="C43" s="81"/>
      <c r="D43" s="81"/>
      <c r="E43" s="81"/>
      <c r="F43" s="81"/>
      <c r="G43" s="81"/>
      <c r="H43" s="81"/>
      <c r="I43" s="81">
        <f>('Total TV Universe (RV)'!I43)/('Total TV Universe (RV)'!I48)*100</f>
        <v>0.268051321634592</v>
      </c>
      <c r="J43" s="219">
        <f>('Total TV Universe (RV)'!J43)/('Total TV Universe (RV)'!J48)*100</f>
        <v>0.27681735337933883</v>
      </c>
      <c r="K43" s="420">
        <f>('Total TV Universe (RV)'!K43)/('Total TV Universe (RV)'!K48)*100</f>
        <v>0.26415155681058183</v>
      </c>
      <c r="L43" s="108">
        <f>('Total TV Universe (RV)'!L43)/('Total TV Universe (RV)'!L48)*100</f>
        <v>0.28000672016128386</v>
      </c>
      <c r="M43" s="128" t="s">
        <v>308</v>
      </c>
      <c r="N43" s="81"/>
      <c r="O43" s="110"/>
      <c r="P43" s="11"/>
      <c r="Q43" s="11"/>
      <c r="R43" s="11"/>
      <c r="S43" s="11"/>
      <c r="T43" s="11"/>
      <c r="U43" s="11"/>
      <c r="V43" s="11"/>
      <c r="W43" s="11"/>
      <c r="X43" s="11"/>
      <c r="Y43" s="11"/>
    </row>
    <row r="44" spans="1:25" ht="15.75" customHeight="1" x14ac:dyDescent="0.25">
      <c r="A44" s="157"/>
      <c r="B44" s="81"/>
      <c r="C44" s="81"/>
      <c r="D44" s="81"/>
      <c r="E44" s="81"/>
      <c r="F44" s="81"/>
      <c r="G44" s="81"/>
      <c r="H44" s="81"/>
      <c r="I44" s="81"/>
      <c r="J44" s="81"/>
      <c r="K44" s="81"/>
      <c r="L44" s="81"/>
      <c r="M44" s="81"/>
      <c r="N44" s="81"/>
      <c r="O44" s="81"/>
      <c r="P44" s="11"/>
      <c r="Q44" s="11"/>
      <c r="R44" s="11"/>
      <c r="S44" s="11"/>
      <c r="T44" s="11"/>
      <c r="U44" s="11"/>
      <c r="V44" s="11"/>
      <c r="W44" s="11"/>
      <c r="X44" s="11"/>
      <c r="Y44" s="11"/>
    </row>
    <row r="45" spans="1:25" ht="15.75" customHeight="1" x14ac:dyDescent="0.25">
      <c r="A45" s="157"/>
      <c r="B45" s="81"/>
      <c r="C45" s="81"/>
      <c r="D45" s="81"/>
      <c r="E45" s="81"/>
      <c r="F45" s="81"/>
      <c r="G45" s="81"/>
      <c r="H45" s="81"/>
      <c r="I45" s="81"/>
      <c r="J45" s="81"/>
      <c r="K45" s="81"/>
      <c r="L45" s="81"/>
      <c r="M45" s="81"/>
      <c r="N45" s="81"/>
      <c r="O45" s="81"/>
      <c r="P45" s="11"/>
      <c r="Q45" s="11"/>
      <c r="R45" s="11"/>
      <c r="S45" s="11"/>
      <c r="T45" s="11"/>
      <c r="U45" s="11"/>
      <c r="V45" s="11"/>
      <c r="W45" s="11"/>
      <c r="X45" s="11"/>
      <c r="Y45" s="11"/>
    </row>
    <row r="46" spans="1:25" ht="15.75" customHeight="1" x14ac:dyDescent="0.25">
      <c r="A46" s="605" t="s">
        <v>323</v>
      </c>
      <c r="B46" s="110">
        <f>'Total TV Universe (RV)'!B46</f>
        <v>93.8</v>
      </c>
      <c r="C46" s="110">
        <f>'Total TV Universe (RV)'!C46</f>
        <v>142.4</v>
      </c>
      <c r="D46" s="110">
        <f>'Total TV Universe (RV)'!D46</f>
        <v>322.09699999999998</v>
      </c>
      <c r="E46" s="110">
        <f>'Total TV Universe (RV)'!E46</f>
        <v>395.18400000000003</v>
      </c>
      <c r="F46" s="110">
        <f>'Total TV Universe (RV)'!F46</f>
        <v>664.48</v>
      </c>
      <c r="G46" s="110">
        <f>'Total TV Universe (RV)'!G46</f>
        <v>842.08199999999999</v>
      </c>
      <c r="H46" s="110">
        <f>'Total TV Universe (RV)'!H46</f>
        <v>1270.431</v>
      </c>
      <c r="I46" s="110">
        <f>'Total TV Universe (RV)'!I46</f>
        <v>2065.201</v>
      </c>
      <c r="J46" s="110">
        <f>'Total TV Universe (RV)'!J46</f>
        <v>2931.1410000000001</v>
      </c>
      <c r="K46" s="110">
        <f>'Total TV Universe (RV)'!K46</f>
        <v>3474.62</v>
      </c>
      <c r="L46" s="110">
        <f>'Total TV Universe (RV)'!L46</f>
        <v>3748.0920000000001</v>
      </c>
      <c r="M46" s="110">
        <f>'Total TV Universe (RV)'!M46</f>
        <v>3967.587</v>
      </c>
      <c r="N46" s="110">
        <f>'Total TV Universe (RV)'!N46</f>
        <v>4090.9940000000001</v>
      </c>
      <c r="O46" s="110">
        <f>'Total TV Universe (RV)'!O46</f>
        <v>4216.3999999999996</v>
      </c>
      <c r="P46" s="11"/>
      <c r="Q46" s="11"/>
      <c r="R46" s="11"/>
      <c r="S46" s="11"/>
      <c r="T46" s="11"/>
      <c r="U46" s="11"/>
      <c r="V46" s="11"/>
      <c r="W46" s="11"/>
      <c r="X46" s="11"/>
      <c r="Y46" s="11"/>
    </row>
    <row r="47" spans="1:25" ht="15.75" customHeight="1" x14ac:dyDescent="0.25">
      <c r="A47" s="605" t="s">
        <v>341</v>
      </c>
      <c r="B47" s="110">
        <f>'Total TV Universe (RV)'!B47</f>
        <v>1710.5229999999999</v>
      </c>
      <c r="C47" s="110">
        <f>'Total TV Universe (RV)'!C47</f>
        <v>2170.3870000000002</v>
      </c>
      <c r="D47" s="110">
        <f>'Total TV Universe (RV)'!D47</f>
        <v>2403.2980000000002</v>
      </c>
      <c r="E47" s="110">
        <f>'Total TV Universe (RV)'!E47</f>
        <v>2489.116</v>
      </c>
      <c r="F47" s="110">
        <f>'Total TV Universe (RV)'!F47</f>
        <v>2663.692</v>
      </c>
      <c r="G47" s="110">
        <f>'Total TV Universe (RV)'!G47</f>
        <v>2931.2179999999998</v>
      </c>
      <c r="H47" s="110">
        <f>'Total TV Universe (RV)'!H47</f>
        <v>3046.1109999999999</v>
      </c>
      <c r="I47" s="110">
        <f>'Total TV Universe (RV)'!I47</f>
        <v>3190.152</v>
      </c>
      <c r="J47" s="110">
        <f>'Total TV Universe (RV)'!J47</f>
        <v>3390.7169999999996</v>
      </c>
      <c r="K47" s="110">
        <f>'Total TV Universe (RV)'!K47</f>
        <v>3415.364</v>
      </c>
      <c r="L47" s="110">
        <f>'Total TV Universe (RV)'!L47</f>
        <v>3501.7339999999999</v>
      </c>
      <c r="M47" s="110">
        <f>'Total TV Universe (RV)'!M47</f>
        <v>3419.8710000000001</v>
      </c>
      <c r="N47" s="110">
        <f>'Total TV Universe (RV)'!N47</f>
        <v>3190.9</v>
      </c>
      <c r="O47" s="110">
        <f>'Total TV Universe (RV)'!O47</f>
        <v>3059.2</v>
      </c>
      <c r="P47" s="11"/>
      <c r="Q47" s="11"/>
      <c r="R47" s="11"/>
      <c r="S47" s="11"/>
      <c r="T47" s="11"/>
      <c r="U47" s="11"/>
      <c r="V47" s="11"/>
      <c r="W47" s="11"/>
      <c r="X47" s="11"/>
      <c r="Y47" s="11"/>
    </row>
    <row r="48" spans="1:25" ht="15.75" customHeight="1" x14ac:dyDescent="0.25">
      <c r="A48" s="605" t="s">
        <v>593</v>
      </c>
      <c r="B48" s="338">
        <f>'Total TV Universe (RV)'!B48</f>
        <v>1837.8150000000001</v>
      </c>
      <c r="C48" s="338">
        <f>'Total TV Universe (RV)'!C48</f>
        <v>2349.5830000000001</v>
      </c>
      <c r="D48" s="338">
        <f>'Total TV Universe (RV)'!D48</f>
        <v>2761.2470000000003</v>
      </c>
      <c r="E48" s="338">
        <f>'Total TV Universe (RV)'!E48</f>
        <v>2920.3240000000005</v>
      </c>
      <c r="F48" s="338">
        <f>'Total TV Universe (RV)'!F48</f>
        <v>3366.7040000000002</v>
      </c>
      <c r="G48" s="338">
        <f>'Total TV Universe (RV)'!G48</f>
        <v>3811.2599999999998</v>
      </c>
      <c r="H48" s="338">
        <f>'Total TV Universe (RV)'!H48</f>
        <v>4353.93</v>
      </c>
      <c r="I48" s="338">
        <f>'Total TV Universe (RV)'!I48</f>
        <v>5297.4930000000004</v>
      </c>
      <c r="J48" s="338">
        <f>'Total TV Universe (RV)'!J48</f>
        <v>6321.8580000000002</v>
      </c>
      <c r="K48" s="338">
        <f>'Total TV Universe (RV)'!K48</f>
        <v>6889.9840000000004</v>
      </c>
      <c r="L48" s="338">
        <f>'Total TV Universe (RV)'!L48</f>
        <v>7249.826</v>
      </c>
      <c r="M48" s="338">
        <f>'Total TV Universe (RV)'!M48</f>
        <v>7387.4580000000005</v>
      </c>
      <c r="N48" s="338">
        <f>'Total TV Universe (RV)'!N48</f>
        <v>7281.8940000000002</v>
      </c>
      <c r="O48" s="338">
        <f>'Total TV Universe (RV)'!O48</f>
        <v>7275.6</v>
      </c>
      <c r="P48" s="44"/>
      <c r="Q48" s="44"/>
      <c r="R48" s="44"/>
      <c r="S48" s="44"/>
      <c r="T48" s="44"/>
      <c r="U48" s="44"/>
      <c r="V48" s="44"/>
      <c r="W48" s="44"/>
      <c r="X48" s="44"/>
      <c r="Y48" s="44"/>
    </row>
    <row r="49" spans="1:25" ht="15.75" customHeight="1" x14ac:dyDescent="0.25">
      <c r="A49" s="605" t="s">
        <v>42</v>
      </c>
      <c r="B49" s="110">
        <f>SUM(B25+B7+B26+B28)</f>
        <v>58.213367504346195</v>
      </c>
      <c r="C49" s="110">
        <f>SUM(C25+C7+C20+C28)</f>
        <v>62.797185713379776</v>
      </c>
      <c r="D49" s="110">
        <f t="shared" ref="D49:G49" si="0">SUM(D25+D7+D20+D23)</f>
        <v>57.503729293322898</v>
      </c>
      <c r="E49" s="110">
        <f t="shared" si="0"/>
        <v>58.966196901439687</v>
      </c>
      <c r="F49" s="110">
        <f t="shared" si="0"/>
        <v>58.380600135919273</v>
      </c>
      <c r="G49" s="110">
        <f t="shared" si="0"/>
        <v>65.008684791906092</v>
      </c>
      <c r="H49" s="110">
        <f>SUM(H25+H7+H20+H16)</f>
        <v>63.311590326440694</v>
      </c>
      <c r="I49" s="110">
        <f>SUM(I25+I6+I20+I16)</f>
        <v>63.279932602081772</v>
      </c>
      <c r="J49" s="110">
        <f>SUM(J25+J5+J20+J26)</f>
        <v>69.859209112257815</v>
      </c>
      <c r="K49" s="110">
        <f>SUM(K25+K5+K17+K26)</f>
        <v>75.446807278507464</v>
      </c>
      <c r="L49" s="110">
        <f t="shared" ref="L49:O49" si="1">SUM(L25+L3+L17+L26)</f>
        <v>77.626997806568042</v>
      </c>
      <c r="M49" s="110">
        <f t="shared" si="1"/>
        <v>76.630864771075508</v>
      </c>
      <c r="N49" s="110">
        <f t="shared" si="1"/>
        <v>79.77833442782881</v>
      </c>
      <c r="O49" s="110">
        <f t="shared" si="1"/>
        <v>85.099415384243215</v>
      </c>
      <c r="P49" s="24"/>
      <c r="Q49" s="24"/>
      <c r="R49" s="24"/>
      <c r="S49" s="24"/>
      <c r="T49" s="24"/>
      <c r="U49" s="24"/>
      <c r="V49" s="24"/>
      <c r="W49" s="24"/>
      <c r="X49" s="24"/>
      <c r="Y49" s="24"/>
    </row>
    <row r="50" spans="1:25" ht="18" customHeight="1" x14ac:dyDescent="0.25">
      <c r="A50" s="605" t="s">
        <v>43</v>
      </c>
      <c r="B50" s="291">
        <f t="shared" ref="B50:O50" si="2">SUMSQ(B3:B17,B20:B41)</f>
        <v>2149.6129291025045</v>
      </c>
      <c r="C50" s="291">
        <f t="shared" si="2"/>
        <v>1987.6850421490162</v>
      </c>
      <c r="D50" s="291">
        <f t="shared" si="2"/>
        <v>1707.4477454376877</v>
      </c>
      <c r="E50" s="291">
        <f t="shared" si="2"/>
        <v>1596.7265068296708</v>
      </c>
      <c r="F50" s="291">
        <f t="shared" si="2"/>
        <v>1465.568591177288</v>
      </c>
      <c r="G50" s="291">
        <f t="shared" si="2"/>
        <v>1506.5320931446427</v>
      </c>
      <c r="H50" s="291">
        <f t="shared" si="2"/>
        <v>1355.2785081315033</v>
      </c>
      <c r="I50" s="291">
        <f t="shared" si="2"/>
        <v>1283.1148776055741</v>
      </c>
      <c r="J50" s="291">
        <f t="shared" si="2"/>
        <v>1530.7934495710219</v>
      </c>
      <c r="K50" s="291">
        <f t="shared" si="2"/>
        <v>1656.9943665018141</v>
      </c>
      <c r="L50" s="291">
        <f t="shared" si="2"/>
        <v>1724.6901654268763</v>
      </c>
      <c r="M50" s="291">
        <f t="shared" si="2"/>
        <v>1680.931090703752</v>
      </c>
      <c r="N50" s="291">
        <f t="shared" si="2"/>
        <v>1808.3990992062534</v>
      </c>
      <c r="O50" s="291">
        <f t="shared" si="2"/>
        <v>2127.7754968692616</v>
      </c>
      <c r="P50" s="42"/>
      <c r="Q50" s="42"/>
      <c r="R50" s="42"/>
      <c r="S50" s="42"/>
      <c r="T50" s="42"/>
      <c r="U50" s="42"/>
      <c r="V50" s="42"/>
      <c r="W50" s="42"/>
      <c r="X50" s="42"/>
      <c r="Y50" s="42"/>
    </row>
    <row r="51" spans="1:25" ht="15.75" customHeight="1" x14ac:dyDescent="0.25">
      <c r="A51" s="614" t="s">
        <v>603</v>
      </c>
      <c r="B51" s="97"/>
      <c r="C51" s="97"/>
      <c r="D51" s="229"/>
      <c r="E51" s="229"/>
      <c r="F51" s="401">
        <f t="shared" ref="F51:G51" si="3">SUM(F25+F20+F23+F7)</f>
        <v>58.380600135919273</v>
      </c>
      <c r="G51" s="401">
        <f t="shared" si="3"/>
        <v>65.008684791906092</v>
      </c>
      <c r="H51" s="401">
        <f>SUM(H25+H20+H16+H7)</f>
        <v>63.311590326440694</v>
      </c>
      <c r="I51" s="401">
        <f>SUM(I25+I20+I16+I6)</f>
        <v>63.279932602081772</v>
      </c>
      <c r="J51" s="401">
        <f>SUM(J25+J20+J4+J5)</f>
        <v>69.984172374640508</v>
      </c>
      <c r="K51" s="401">
        <f>SUM(K25+K18+K26+K5)</f>
        <v>68.229476294865123</v>
      </c>
      <c r="L51" s="401">
        <f t="shared" ref="L51:O51" si="4">SUM(L25+L18+L26+L3)</f>
        <v>70.354791963282977</v>
      </c>
      <c r="M51" s="401">
        <f t="shared" si="4"/>
        <v>69.574676431324548</v>
      </c>
      <c r="N51" s="401">
        <f t="shared" si="4"/>
        <v>72.283392205379528</v>
      </c>
      <c r="O51" s="401">
        <f t="shared" si="4"/>
        <v>77.425916762878671</v>
      </c>
      <c r="P51" s="161"/>
      <c r="Q51" s="161"/>
      <c r="R51" s="161"/>
      <c r="S51" s="161"/>
      <c r="T51" s="161"/>
      <c r="U51" s="161"/>
      <c r="V51" s="161"/>
      <c r="W51" s="161"/>
      <c r="X51" s="161"/>
      <c r="Y51" s="161"/>
    </row>
    <row r="52" spans="1:25" ht="15.75" customHeight="1" x14ac:dyDescent="0.25">
      <c r="A52" s="614" t="s">
        <v>607</v>
      </c>
      <c r="B52" s="97"/>
      <c r="C52" s="97"/>
      <c r="D52" s="229"/>
      <c r="E52" s="229"/>
      <c r="F52" s="401">
        <f t="shared" ref="F52:O52" si="5">SUMSQ(F3:F16,F18:F41)</f>
        <v>1465.568591177288</v>
      </c>
      <c r="G52" s="401">
        <f t="shared" si="5"/>
        <v>1506.5320931446427</v>
      </c>
      <c r="H52" s="401">
        <f t="shared" si="5"/>
        <v>1355.2785081315033</v>
      </c>
      <c r="I52" s="401">
        <f t="shared" si="5"/>
        <v>1279.1611630469365</v>
      </c>
      <c r="J52" s="401">
        <f t="shared" si="5"/>
        <v>1517.9680903381236</v>
      </c>
      <c r="K52" s="401">
        <f t="shared" si="5"/>
        <v>1452.164152013446</v>
      </c>
      <c r="L52" s="401">
        <f t="shared" si="5"/>
        <v>1511.6144357154853</v>
      </c>
      <c r="M52" s="401">
        <f t="shared" si="5"/>
        <v>1491.0075081295995</v>
      </c>
      <c r="N52" s="401">
        <f t="shared" si="5"/>
        <v>1609.7524491818629</v>
      </c>
      <c r="O52" s="401">
        <f t="shared" si="5"/>
        <v>1919.5165164725047</v>
      </c>
      <c r="P52" s="161"/>
      <c r="Q52" s="161"/>
      <c r="R52" s="161"/>
      <c r="S52" s="161"/>
      <c r="T52" s="161"/>
      <c r="U52" s="161"/>
      <c r="V52" s="161"/>
      <c r="W52" s="161"/>
      <c r="X52" s="161"/>
      <c r="Y52" s="161"/>
    </row>
    <row r="53" spans="1:25" ht="15.75" customHeight="1" x14ac:dyDescent="0.25">
      <c r="A53" s="615"/>
      <c r="B53" s="11"/>
      <c r="C53" s="11"/>
      <c r="D53" s="11"/>
      <c r="E53" s="11"/>
      <c r="F53" s="11"/>
      <c r="G53" s="11"/>
      <c r="H53" s="11"/>
      <c r="I53" s="11"/>
      <c r="J53" s="11"/>
      <c r="K53" s="42"/>
      <c r="L53" s="42"/>
      <c r="M53" s="42"/>
      <c r="N53" s="11"/>
      <c r="O53" s="11"/>
      <c r="P53" s="24"/>
      <c r="Q53" s="24"/>
      <c r="R53" s="24"/>
      <c r="S53" s="24"/>
      <c r="T53" s="24"/>
      <c r="U53" s="24"/>
      <c r="V53" s="24"/>
      <c r="W53" s="24"/>
      <c r="X53" s="24"/>
      <c r="Y53" s="24"/>
    </row>
    <row r="54" spans="1:25" ht="12.75" customHeight="1" x14ac:dyDescent="0.25">
      <c r="A54" s="559"/>
      <c r="B54" s="485"/>
      <c r="C54" s="11"/>
      <c r="D54" s="11"/>
      <c r="E54" s="11"/>
      <c r="F54" s="11"/>
      <c r="G54" s="11"/>
      <c r="H54" s="42"/>
      <c r="I54" s="42"/>
      <c r="J54" s="42"/>
      <c r="K54" s="11"/>
      <c r="L54" s="11"/>
      <c r="M54" s="11"/>
      <c r="N54" s="11"/>
      <c r="O54" s="11"/>
      <c r="P54" s="24"/>
      <c r="Q54" s="24"/>
      <c r="R54" s="24"/>
      <c r="S54" s="24"/>
      <c r="T54" s="24"/>
      <c r="U54" s="24"/>
      <c r="V54" s="24"/>
      <c r="W54" s="24"/>
      <c r="X54" s="24"/>
      <c r="Y54" s="24"/>
    </row>
    <row r="55" spans="1:25" ht="15.75" customHeight="1" x14ac:dyDescent="0.25">
      <c r="A55" s="605"/>
      <c r="B55" s="32"/>
      <c r="C55" s="32"/>
      <c r="D55" s="32"/>
      <c r="E55" s="32"/>
      <c r="F55" s="32"/>
      <c r="G55" s="32"/>
      <c r="H55" s="32"/>
      <c r="I55" s="410"/>
      <c r="J55" s="32"/>
      <c r="K55" s="32"/>
      <c r="L55" s="32"/>
      <c r="M55" s="616"/>
      <c r="N55" s="11"/>
      <c r="O55" s="11"/>
      <c r="P55" s="24"/>
      <c r="Q55" s="24"/>
      <c r="R55" s="24"/>
      <c r="S55" s="24"/>
      <c r="T55" s="24"/>
      <c r="U55" s="24"/>
      <c r="V55" s="24"/>
      <c r="W55" s="24"/>
      <c r="X55" s="24"/>
      <c r="Y55" s="24"/>
    </row>
    <row r="56" spans="1:25" ht="15.75" customHeight="1" x14ac:dyDescent="0.25">
      <c r="A56" s="559"/>
      <c r="B56" s="24"/>
      <c r="C56" s="24"/>
      <c r="D56" s="24"/>
      <c r="E56" s="24"/>
      <c r="F56" s="24"/>
      <c r="G56" s="24"/>
      <c r="H56" s="24"/>
      <c r="I56" s="24"/>
      <c r="J56" s="24"/>
      <c r="K56" s="44"/>
      <c r="L56" s="44"/>
      <c r="M56" s="24"/>
      <c r="N56" s="24"/>
      <c r="O56" s="24"/>
      <c r="P56" s="24"/>
      <c r="Q56" s="24"/>
      <c r="R56" s="24"/>
      <c r="S56" s="24"/>
      <c r="T56" s="24"/>
      <c r="U56" s="24"/>
      <c r="V56" s="24"/>
      <c r="W56" s="24"/>
      <c r="X56" s="24"/>
      <c r="Y56" s="24"/>
    </row>
    <row r="57" spans="1:25" ht="15.75" customHeight="1" x14ac:dyDescent="0.25">
      <c r="A57" s="559"/>
      <c r="B57" s="24"/>
      <c r="C57" s="24"/>
      <c r="D57" s="24"/>
      <c r="E57" s="24"/>
      <c r="F57" s="24"/>
      <c r="G57" s="24"/>
      <c r="H57" s="44"/>
      <c r="I57" s="44"/>
      <c r="J57" s="44"/>
      <c r="K57" s="24"/>
      <c r="L57" s="24"/>
      <c r="M57" s="24"/>
      <c r="N57" s="24"/>
      <c r="O57" s="24"/>
      <c r="P57" s="24"/>
      <c r="Q57" s="24"/>
      <c r="R57" s="24"/>
      <c r="S57" s="24"/>
      <c r="T57" s="24"/>
      <c r="U57" s="24"/>
      <c r="V57" s="24"/>
      <c r="W57" s="24"/>
      <c r="X57" s="24"/>
      <c r="Y57" s="24"/>
    </row>
    <row r="58" spans="1:25" ht="15.75" customHeight="1" x14ac:dyDescent="0.25">
      <c r="A58" s="559"/>
      <c r="B58" s="24"/>
      <c r="C58" s="24"/>
      <c r="D58" s="24"/>
      <c r="E58" s="24"/>
      <c r="F58" s="24"/>
      <c r="G58" s="24"/>
      <c r="H58" s="24"/>
      <c r="I58" s="24"/>
      <c r="J58" s="24"/>
      <c r="K58" s="44"/>
      <c r="L58" s="44"/>
      <c r="M58" s="44"/>
      <c r="N58" s="24"/>
      <c r="O58" s="24"/>
      <c r="P58" s="24"/>
      <c r="Q58" s="24"/>
      <c r="R58" s="24"/>
      <c r="S58" s="24"/>
      <c r="T58" s="24"/>
      <c r="U58" s="24"/>
      <c r="V58" s="24"/>
      <c r="W58" s="24"/>
      <c r="X58" s="24"/>
      <c r="Y58" s="24"/>
    </row>
    <row r="59" spans="1:25" ht="15.75" customHeight="1" x14ac:dyDescent="0.25">
      <c r="A59" s="559"/>
      <c r="B59" s="24"/>
      <c r="C59" s="24"/>
      <c r="D59" s="24"/>
      <c r="E59" s="24"/>
      <c r="F59" s="24"/>
      <c r="G59" s="24"/>
      <c r="H59" s="24"/>
      <c r="I59" s="44"/>
      <c r="J59" s="44"/>
      <c r="K59" s="44"/>
      <c r="L59" s="24"/>
      <c r="M59" s="24"/>
      <c r="N59" s="24"/>
      <c r="O59" s="24"/>
      <c r="P59" s="24"/>
      <c r="Q59" s="24"/>
      <c r="R59" s="24"/>
      <c r="S59" s="24"/>
      <c r="T59" s="24"/>
      <c r="U59" s="24"/>
      <c r="V59" s="24"/>
      <c r="W59" s="24"/>
      <c r="X59" s="24"/>
      <c r="Y59" s="24"/>
    </row>
    <row r="60" spans="1:25" ht="15.75" customHeight="1" x14ac:dyDescent="0.25">
      <c r="A60" s="559"/>
      <c r="B60" s="24"/>
      <c r="C60" s="24"/>
      <c r="D60" s="24"/>
      <c r="E60" s="24"/>
      <c r="F60" s="24"/>
      <c r="G60" s="24"/>
      <c r="H60" s="24"/>
      <c r="I60" s="24"/>
      <c r="J60" s="24"/>
      <c r="K60" s="44"/>
      <c r="L60" s="44"/>
      <c r="M60" s="44"/>
      <c r="N60" s="24"/>
      <c r="O60" s="24"/>
      <c r="P60" s="24"/>
      <c r="Q60" s="24"/>
      <c r="R60" s="24"/>
      <c r="S60" s="24"/>
      <c r="T60" s="24"/>
      <c r="U60" s="24"/>
      <c r="V60" s="24"/>
      <c r="W60" s="24"/>
      <c r="X60" s="24"/>
      <c r="Y60" s="24"/>
    </row>
    <row r="61" spans="1:25" ht="15.75" customHeight="1" x14ac:dyDescent="0.25">
      <c r="A61" s="559"/>
      <c r="B61" s="24"/>
      <c r="C61" s="24"/>
      <c r="D61" s="24"/>
      <c r="E61" s="24"/>
      <c r="F61" s="24"/>
      <c r="G61" s="24"/>
      <c r="H61" s="24"/>
      <c r="I61" s="44"/>
      <c r="J61" s="44"/>
      <c r="K61" s="44"/>
      <c r="L61" s="24"/>
      <c r="M61" s="24"/>
      <c r="N61" s="24"/>
      <c r="O61" s="24"/>
      <c r="P61" s="24"/>
      <c r="Q61" s="24"/>
      <c r="R61" s="24"/>
      <c r="S61" s="24"/>
      <c r="T61" s="24"/>
      <c r="U61" s="24"/>
      <c r="V61" s="24"/>
      <c r="W61" s="24"/>
      <c r="X61" s="24"/>
      <c r="Y61" s="24"/>
    </row>
    <row r="62" spans="1:25" ht="15.75" customHeight="1" x14ac:dyDescent="0.25">
      <c r="A62" s="559"/>
      <c r="B62" s="24"/>
      <c r="C62" s="24"/>
      <c r="D62" s="24"/>
      <c r="E62" s="24"/>
      <c r="F62" s="24"/>
      <c r="G62" s="24"/>
      <c r="H62" s="24"/>
      <c r="I62" s="24"/>
      <c r="J62" s="24"/>
      <c r="K62" s="44"/>
      <c r="L62" s="44"/>
      <c r="M62" s="44"/>
      <c r="N62" s="24"/>
      <c r="O62" s="24"/>
      <c r="P62" s="24"/>
      <c r="Q62" s="24"/>
      <c r="R62" s="24"/>
      <c r="S62" s="24"/>
      <c r="T62" s="24"/>
      <c r="U62" s="24"/>
      <c r="V62" s="24"/>
      <c r="W62" s="24"/>
      <c r="X62" s="24"/>
      <c r="Y62" s="24"/>
    </row>
    <row r="63" spans="1:25" ht="15.75" customHeight="1" x14ac:dyDescent="0.25">
      <c r="A63" s="559"/>
      <c r="B63" s="24"/>
      <c r="C63" s="24"/>
      <c r="D63" s="24"/>
      <c r="E63" s="24"/>
      <c r="F63" s="24"/>
      <c r="G63" s="24"/>
      <c r="H63" s="24"/>
      <c r="I63" s="24"/>
      <c r="J63" s="24"/>
      <c r="K63" s="44"/>
      <c r="L63" s="44"/>
      <c r="M63" s="44"/>
      <c r="N63" s="24"/>
      <c r="O63" s="24"/>
      <c r="P63" s="24"/>
      <c r="Q63" s="24"/>
      <c r="R63" s="24"/>
      <c r="S63" s="24"/>
      <c r="T63" s="24"/>
      <c r="U63" s="24"/>
      <c r="V63" s="24"/>
      <c r="W63" s="24"/>
      <c r="X63" s="24"/>
      <c r="Y63" s="24"/>
    </row>
    <row r="64" spans="1:25" ht="15.75" customHeight="1" x14ac:dyDescent="0.25">
      <c r="A64" s="559"/>
      <c r="B64" s="24"/>
      <c r="C64" s="24"/>
      <c r="D64" s="24"/>
      <c r="E64" s="24"/>
      <c r="F64" s="24"/>
      <c r="G64" s="24"/>
      <c r="H64" s="24"/>
      <c r="I64" s="24"/>
      <c r="J64" s="24"/>
      <c r="K64" s="44"/>
      <c r="L64" s="44"/>
      <c r="M64" s="44"/>
      <c r="N64" s="24"/>
      <c r="O64" s="24"/>
      <c r="P64" s="24"/>
      <c r="Q64" s="24"/>
      <c r="R64" s="24"/>
      <c r="S64" s="24"/>
      <c r="T64" s="24"/>
      <c r="U64" s="24"/>
      <c r="V64" s="24"/>
      <c r="W64" s="24"/>
      <c r="X64" s="24"/>
      <c r="Y64" s="24"/>
    </row>
    <row r="65" spans="1:25" ht="15.75" customHeight="1" x14ac:dyDescent="0.25">
      <c r="A65" s="559"/>
      <c r="B65" s="24"/>
      <c r="C65" s="24"/>
      <c r="D65" s="24"/>
      <c r="E65" s="24"/>
      <c r="F65" s="24"/>
      <c r="G65" s="24"/>
      <c r="H65" s="24"/>
      <c r="I65" s="24"/>
      <c r="J65" s="24"/>
      <c r="K65" s="44"/>
      <c r="L65" s="44"/>
      <c r="M65" s="44"/>
      <c r="N65" s="24"/>
      <c r="O65" s="24"/>
      <c r="P65" s="24"/>
      <c r="Q65" s="24"/>
      <c r="R65" s="24"/>
      <c r="S65" s="24"/>
      <c r="T65" s="24"/>
      <c r="U65" s="24"/>
      <c r="V65" s="24"/>
      <c r="W65" s="24"/>
      <c r="X65" s="24"/>
      <c r="Y65" s="24"/>
    </row>
    <row r="66" spans="1:25" ht="15.75" customHeight="1" x14ac:dyDescent="0.25">
      <c r="A66" s="559"/>
      <c r="B66" s="24"/>
      <c r="C66" s="24"/>
      <c r="D66" s="24"/>
      <c r="E66" s="24"/>
      <c r="F66" s="24"/>
      <c r="G66" s="24"/>
      <c r="H66" s="24"/>
      <c r="I66" s="24"/>
      <c r="J66" s="24"/>
      <c r="K66" s="44"/>
      <c r="L66" s="44"/>
      <c r="M66" s="44"/>
      <c r="N66" s="24"/>
      <c r="O66" s="24"/>
      <c r="P66" s="24"/>
      <c r="Q66" s="24"/>
      <c r="R66" s="24"/>
      <c r="S66" s="24"/>
      <c r="T66" s="24"/>
      <c r="U66" s="24"/>
      <c r="V66" s="24"/>
      <c r="W66" s="24"/>
      <c r="X66" s="24"/>
      <c r="Y66" s="24"/>
    </row>
    <row r="67" spans="1:25" ht="15.75" customHeight="1" x14ac:dyDescent="0.25">
      <c r="A67" s="559"/>
      <c r="B67" s="24"/>
      <c r="C67" s="24"/>
      <c r="D67" s="24"/>
      <c r="E67" s="24"/>
      <c r="F67" s="24"/>
      <c r="G67" s="24"/>
      <c r="H67" s="24"/>
      <c r="I67" s="24"/>
      <c r="J67" s="24"/>
      <c r="K67" s="44"/>
      <c r="L67" s="44"/>
      <c r="M67" s="44"/>
      <c r="N67" s="24"/>
      <c r="O67" s="24"/>
      <c r="P67" s="24"/>
      <c r="Q67" s="24"/>
      <c r="R67" s="24"/>
      <c r="S67" s="24"/>
      <c r="T67" s="24"/>
      <c r="U67" s="24"/>
      <c r="V67" s="24"/>
      <c r="W67" s="24"/>
      <c r="X67" s="24"/>
      <c r="Y67" s="24"/>
    </row>
    <row r="68" spans="1:25" ht="15.75" customHeight="1" x14ac:dyDescent="0.25">
      <c r="A68" s="559"/>
      <c r="B68" s="24"/>
      <c r="C68" s="24"/>
      <c r="D68" s="24"/>
      <c r="E68" s="24"/>
      <c r="F68" s="24"/>
      <c r="G68" s="24"/>
      <c r="H68" s="24"/>
      <c r="I68" s="24"/>
      <c r="J68" s="24"/>
      <c r="K68" s="44"/>
      <c r="L68" s="44"/>
      <c r="M68" s="44"/>
      <c r="N68" s="24"/>
      <c r="O68" s="24"/>
      <c r="P68" s="24"/>
      <c r="Q68" s="24"/>
      <c r="R68" s="24"/>
      <c r="S68" s="24"/>
      <c r="T68" s="24"/>
      <c r="U68" s="24"/>
      <c r="V68" s="24"/>
      <c r="W68" s="24"/>
      <c r="X68" s="24"/>
      <c r="Y68" s="24"/>
    </row>
    <row r="69" spans="1:25" ht="15.75" customHeight="1" x14ac:dyDescent="0.25">
      <c r="A69" s="559"/>
      <c r="B69" s="24"/>
      <c r="C69" s="24"/>
      <c r="D69" s="24"/>
      <c r="E69" s="24"/>
      <c r="F69" s="24"/>
      <c r="G69" s="24"/>
      <c r="H69" s="24"/>
      <c r="I69" s="24"/>
      <c r="J69" s="24"/>
      <c r="K69" s="44"/>
      <c r="L69" s="44"/>
      <c r="M69" s="44"/>
      <c r="N69" s="24"/>
      <c r="O69" s="24"/>
      <c r="P69" s="24"/>
      <c r="Q69" s="24"/>
      <c r="R69" s="24"/>
      <c r="S69" s="24"/>
      <c r="T69" s="24"/>
      <c r="U69" s="24"/>
      <c r="V69" s="24"/>
      <c r="W69" s="24"/>
      <c r="X69" s="24"/>
      <c r="Y69" s="24"/>
    </row>
    <row r="70" spans="1:25" ht="15.75" customHeight="1" x14ac:dyDescent="0.25">
      <c r="A70" s="559"/>
      <c r="B70" s="24"/>
      <c r="C70" s="24"/>
      <c r="D70" s="24"/>
      <c r="E70" s="24"/>
      <c r="F70" s="24"/>
      <c r="G70" s="24"/>
      <c r="H70" s="24"/>
      <c r="I70" s="24"/>
      <c r="J70" s="24"/>
      <c r="K70" s="44"/>
      <c r="L70" s="44"/>
      <c r="M70" s="44"/>
      <c r="N70" s="24"/>
      <c r="O70" s="24"/>
      <c r="P70" s="24"/>
      <c r="Q70" s="24"/>
      <c r="R70" s="24"/>
      <c r="S70" s="24"/>
      <c r="T70" s="24"/>
      <c r="U70" s="24"/>
      <c r="V70" s="24"/>
      <c r="W70" s="24"/>
      <c r="X70" s="24"/>
      <c r="Y70" s="24"/>
    </row>
    <row r="71" spans="1:25" ht="15.75" customHeight="1" x14ac:dyDescent="0.25">
      <c r="A71" s="559"/>
      <c r="B71" s="24"/>
      <c r="C71" s="24"/>
      <c r="D71" s="24"/>
      <c r="E71" s="24"/>
      <c r="F71" s="24"/>
      <c r="G71" s="24"/>
      <c r="H71" s="24"/>
      <c r="I71" s="24"/>
      <c r="J71" s="24"/>
      <c r="K71" s="44"/>
      <c r="L71" s="44"/>
      <c r="M71" s="44"/>
      <c r="N71" s="24"/>
      <c r="O71" s="24"/>
      <c r="P71" s="24"/>
      <c r="Q71" s="24"/>
      <c r="R71" s="24"/>
      <c r="S71" s="24"/>
      <c r="T71" s="24"/>
      <c r="U71" s="24"/>
      <c r="V71" s="24"/>
      <c r="W71" s="24"/>
      <c r="X71" s="24"/>
      <c r="Y71" s="24"/>
    </row>
    <row r="72" spans="1:25" ht="15.75" customHeight="1" x14ac:dyDescent="0.25">
      <c r="A72" s="559"/>
      <c r="B72" s="24"/>
      <c r="C72" s="24"/>
      <c r="D72" s="24"/>
      <c r="E72" s="24"/>
      <c r="F72" s="24"/>
      <c r="G72" s="24"/>
      <c r="H72" s="24"/>
      <c r="I72" s="24"/>
      <c r="J72" s="24"/>
      <c r="K72" s="44"/>
      <c r="L72" s="44"/>
      <c r="M72" s="44"/>
      <c r="N72" s="24"/>
      <c r="O72" s="24"/>
      <c r="P72" s="24"/>
      <c r="Q72" s="24"/>
      <c r="R72" s="24"/>
      <c r="S72" s="24"/>
      <c r="T72" s="24"/>
      <c r="U72" s="24"/>
      <c r="V72" s="24"/>
      <c r="W72" s="24"/>
      <c r="X72" s="24"/>
      <c r="Y72" s="24"/>
    </row>
    <row r="73" spans="1:25" ht="15.75" customHeight="1" x14ac:dyDescent="0.25">
      <c r="A73" s="559"/>
      <c r="B73" s="24"/>
      <c r="C73" s="24"/>
      <c r="D73" s="24"/>
      <c r="E73" s="24"/>
      <c r="F73" s="24"/>
      <c r="G73" s="24"/>
      <c r="H73" s="24"/>
      <c r="I73" s="24"/>
      <c r="J73" s="24"/>
      <c r="K73" s="44"/>
      <c r="L73" s="44"/>
      <c r="M73" s="44"/>
      <c r="N73" s="24"/>
      <c r="O73" s="24"/>
      <c r="P73" s="24"/>
      <c r="Q73" s="24"/>
      <c r="R73" s="24"/>
      <c r="S73" s="24"/>
      <c r="T73" s="24"/>
      <c r="U73" s="24"/>
      <c r="V73" s="24"/>
      <c r="W73" s="24"/>
      <c r="X73" s="24"/>
      <c r="Y73" s="24"/>
    </row>
    <row r="74" spans="1:25" ht="15.75" customHeight="1" x14ac:dyDescent="0.25">
      <c r="A74" s="559"/>
      <c r="B74" s="24"/>
      <c r="C74" s="24"/>
      <c r="D74" s="24"/>
      <c r="E74" s="24"/>
      <c r="F74" s="24"/>
      <c r="G74" s="24"/>
      <c r="H74" s="24"/>
      <c r="I74" s="24"/>
      <c r="J74" s="24"/>
      <c r="K74" s="44"/>
      <c r="L74" s="44"/>
      <c r="M74" s="44"/>
      <c r="N74" s="24"/>
      <c r="O74" s="24"/>
      <c r="P74" s="24"/>
      <c r="Q74" s="24"/>
      <c r="R74" s="24"/>
      <c r="S74" s="24"/>
      <c r="T74" s="24"/>
      <c r="U74" s="24"/>
      <c r="V74" s="24"/>
      <c r="W74" s="24"/>
      <c r="X74" s="24"/>
      <c r="Y74" s="24"/>
    </row>
    <row r="75" spans="1:25" ht="15.75" customHeight="1" x14ac:dyDescent="0.25">
      <c r="A75" s="559"/>
      <c r="B75" s="24"/>
      <c r="C75" s="24"/>
      <c r="D75" s="24"/>
      <c r="E75" s="24"/>
      <c r="F75" s="24"/>
      <c r="G75" s="24"/>
      <c r="H75" s="24"/>
      <c r="I75" s="24"/>
      <c r="J75" s="24"/>
      <c r="K75" s="44"/>
      <c r="L75" s="44"/>
      <c r="M75" s="44"/>
      <c r="N75" s="24"/>
      <c r="O75" s="24"/>
      <c r="P75" s="24"/>
      <c r="Q75" s="24"/>
      <c r="R75" s="24"/>
      <c r="S75" s="24"/>
      <c r="T75" s="24"/>
      <c r="U75" s="24"/>
      <c r="V75" s="24"/>
      <c r="W75" s="24"/>
      <c r="X75" s="24"/>
      <c r="Y75" s="24"/>
    </row>
    <row r="76" spans="1:25" ht="15.75" customHeight="1" x14ac:dyDescent="0.25">
      <c r="A76" s="559"/>
      <c r="B76" s="24"/>
      <c r="C76" s="24"/>
      <c r="D76" s="24"/>
      <c r="E76" s="24"/>
      <c r="F76" s="24"/>
      <c r="G76" s="24"/>
      <c r="H76" s="24"/>
      <c r="I76" s="24"/>
      <c r="J76" s="24"/>
      <c r="K76" s="44"/>
      <c r="L76" s="44"/>
      <c r="M76" s="44"/>
      <c r="N76" s="24"/>
      <c r="O76" s="24"/>
      <c r="P76" s="24"/>
      <c r="Q76" s="24"/>
      <c r="R76" s="24"/>
      <c r="S76" s="24"/>
      <c r="T76" s="24"/>
      <c r="U76" s="24"/>
      <c r="V76" s="24"/>
      <c r="W76" s="24"/>
      <c r="X76" s="24"/>
      <c r="Y76" s="24"/>
    </row>
    <row r="77" spans="1:25" ht="15.75" customHeight="1" x14ac:dyDescent="0.25">
      <c r="A77" s="559"/>
      <c r="B77" s="24"/>
      <c r="C77" s="24"/>
      <c r="D77" s="24"/>
      <c r="E77" s="24"/>
      <c r="F77" s="24"/>
      <c r="G77" s="24"/>
      <c r="H77" s="24"/>
      <c r="I77" s="24"/>
      <c r="J77" s="24"/>
      <c r="K77" s="44"/>
      <c r="L77" s="44"/>
      <c r="M77" s="44"/>
      <c r="N77" s="24"/>
      <c r="O77" s="24"/>
      <c r="P77" s="24"/>
      <c r="Q77" s="24"/>
      <c r="R77" s="24"/>
      <c r="S77" s="24"/>
      <c r="T77" s="24"/>
      <c r="U77" s="24"/>
      <c r="V77" s="24"/>
      <c r="W77" s="24"/>
      <c r="X77" s="24"/>
      <c r="Y77" s="24"/>
    </row>
    <row r="78" spans="1:25" ht="15.75" customHeight="1" x14ac:dyDescent="0.25">
      <c r="A78" s="559"/>
      <c r="B78" s="24"/>
      <c r="C78" s="24"/>
      <c r="D78" s="24"/>
      <c r="E78" s="24"/>
      <c r="F78" s="24"/>
      <c r="G78" s="24"/>
      <c r="H78" s="24"/>
      <c r="I78" s="24"/>
      <c r="J78" s="24"/>
      <c r="K78" s="44"/>
      <c r="L78" s="44"/>
      <c r="M78" s="44"/>
      <c r="N78" s="24"/>
      <c r="O78" s="24"/>
      <c r="P78" s="24"/>
      <c r="Q78" s="24"/>
      <c r="R78" s="24"/>
      <c r="S78" s="24"/>
      <c r="T78" s="24"/>
      <c r="U78" s="24"/>
      <c r="V78" s="24"/>
      <c r="W78" s="24"/>
      <c r="X78" s="24"/>
      <c r="Y78" s="24"/>
    </row>
    <row r="79" spans="1:25" ht="15.75" customHeight="1" x14ac:dyDescent="0.25">
      <c r="A79" s="559"/>
      <c r="B79" s="24"/>
      <c r="C79" s="24"/>
      <c r="D79" s="24"/>
      <c r="E79" s="24"/>
      <c r="F79" s="24"/>
      <c r="G79" s="24"/>
      <c r="H79" s="24"/>
      <c r="I79" s="24"/>
      <c r="J79" s="24"/>
      <c r="K79" s="44"/>
      <c r="L79" s="44"/>
      <c r="M79" s="44"/>
      <c r="N79" s="24"/>
      <c r="O79" s="24"/>
      <c r="P79" s="24"/>
      <c r="Q79" s="24"/>
      <c r="R79" s="24"/>
      <c r="S79" s="24"/>
      <c r="T79" s="24"/>
      <c r="U79" s="24"/>
      <c r="V79" s="24"/>
      <c r="W79" s="24"/>
      <c r="X79" s="24"/>
      <c r="Y79" s="24"/>
    </row>
    <row r="80" spans="1:25" ht="15.75" customHeight="1" x14ac:dyDescent="0.25">
      <c r="A80" s="559"/>
      <c r="B80" s="24"/>
      <c r="C80" s="24"/>
      <c r="D80" s="24"/>
      <c r="E80" s="24"/>
      <c r="F80" s="24"/>
      <c r="G80" s="24"/>
      <c r="H80" s="24"/>
      <c r="I80" s="24"/>
      <c r="J80" s="24"/>
      <c r="K80" s="44"/>
      <c r="L80" s="44"/>
      <c r="M80" s="44"/>
      <c r="N80" s="24"/>
      <c r="O80" s="24"/>
      <c r="P80" s="24"/>
      <c r="Q80" s="24"/>
      <c r="R80" s="24"/>
      <c r="S80" s="24"/>
      <c r="T80" s="24"/>
      <c r="U80" s="24"/>
      <c r="V80" s="24"/>
      <c r="W80" s="24"/>
      <c r="X80" s="24"/>
      <c r="Y80" s="24"/>
    </row>
    <row r="81" spans="1:25" ht="15.75" customHeight="1" x14ac:dyDescent="0.25">
      <c r="A81" s="559"/>
      <c r="B81" s="24"/>
      <c r="C81" s="24"/>
      <c r="D81" s="24"/>
      <c r="E81" s="24"/>
      <c r="F81" s="24"/>
      <c r="G81" s="24"/>
      <c r="H81" s="24"/>
      <c r="I81" s="24"/>
      <c r="J81" s="24"/>
      <c r="K81" s="44"/>
      <c r="L81" s="44"/>
      <c r="M81" s="44"/>
      <c r="N81" s="24"/>
      <c r="O81" s="24"/>
      <c r="P81" s="24"/>
      <c r="Q81" s="24"/>
      <c r="R81" s="24"/>
      <c r="S81" s="24"/>
      <c r="T81" s="24"/>
      <c r="U81" s="24"/>
      <c r="V81" s="24"/>
      <c r="W81" s="24"/>
      <c r="X81" s="24"/>
      <c r="Y81" s="24"/>
    </row>
    <row r="82" spans="1:25" ht="15.75" customHeight="1" x14ac:dyDescent="0.25">
      <c r="A82" s="559"/>
      <c r="B82" s="24"/>
      <c r="C82" s="24"/>
      <c r="D82" s="24"/>
      <c r="E82" s="24"/>
      <c r="F82" s="24"/>
      <c r="G82" s="24"/>
      <c r="H82" s="24"/>
      <c r="I82" s="24"/>
      <c r="J82" s="24"/>
      <c r="K82" s="44"/>
      <c r="L82" s="44"/>
      <c r="M82" s="44"/>
      <c r="N82" s="24"/>
      <c r="O82" s="24"/>
      <c r="P82" s="24"/>
      <c r="Q82" s="24"/>
      <c r="R82" s="24"/>
      <c r="S82" s="24"/>
      <c r="T82" s="24"/>
      <c r="U82" s="24"/>
      <c r="V82" s="24"/>
      <c r="W82" s="24"/>
      <c r="X82" s="24"/>
      <c r="Y82" s="24"/>
    </row>
    <row r="83" spans="1:25" ht="15.75" customHeight="1" x14ac:dyDescent="0.25">
      <c r="A83" s="559"/>
      <c r="B83" s="24"/>
      <c r="C83" s="24"/>
      <c r="D83" s="24"/>
      <c r="E83" s="24"/>
      <c r="F83" s="24"/>
      <c r="G83" s="24"/>
      <c r="H83" s="24"/>
      <c r="I83" s="24"/>
      <c r="J83" s="24"/>
      <c r="K83" s="44"/>
      <c r="L83" s="44"/>
      <c r="M83" s="44"/>
      <c r="N83" s="24"/>
      <c r="O83" s="24"/>
      <c r="P83" s="24"/>
      <c r="Q83" s="24"/>
      <c r="R83" s="24"/>
      <c r="S83" s="24"/>
      <c r="T83" s="24"/>
      <c r="U83" s="24"/>
      <c r="V83" s="24"/>
      <c r="W83" s="24"/>
      <c r="X83" s="24"/>
      <c r="Y83" s="24"/>
    </row>
    <row r="84" spans="1:25" ht="15.75" customHeight="1" x14ac:dyDescent="0.25">
      <c r="A84" s="559"/>
      <c r="B84" s="24"/>
      <c r="C84" s="24"/>
      <c r="D84" s="24"/>
      <c r="E84" s="24"/>
      <c r="F84" s="24"/>
      <c r="G84" s="24"/>
      <c r="H84" s="24"/>
      <c r="I84" s="24"/>
      <c r="J84" s="24"/>
      <c r="K84" s="44"/>
      <c r="L84" s="44"/>
      <c r="M84" s="44"/>
      <c r="N84" s="24"/>
      <c r="O84" s="24"/>
      <c r="P84" s="24"/>
      <c r="Q84" s="24"/>
      <c r="R84" s="24"/>
      <c r="S84" s="24"/>
      <c r="T84" s="24"/>
      <c r="U84" s="24"/>
      <c r="V84" s="24"/>
      <c r="W84" s="24"/>
      <c r="X84" s="24"/>
      <c r="Y84" s="24"/>
    </row>
    <row r="85" spans="1:25" ht="15.75" customHeight="1" x14ac:dyDescent="0.25">
      <c r="A85" s="559"/>
      <c r="B85" s="24"/>
      <c r="C85" s="24"/>
      <c r="D85" s="24"/>
      <c r="E85" s="24"/>
      <c r="F85" s="24"/>
      <c r="G85" s="24"/>
      <c r="H85" s="24"/>
      <c r="I85" s="24"/>
      <c r="J85" s="24"/>
      <c r="K85" s="44"/>
      <c r="L85" s="44"/>
      <c r="M85" s="44"/>
      <c r="N85" s="24"/>
      <c r="O85" s="24"/>
      <c r="P85" s="24"/>
      <c r="Q85" s="24"/>
      <c r="R85" s="24"/>
      <c r="S85" s="24"/>
      <c r="T85" s="24"/>
      <c r="U85" s="24"/>
      <c r="V85" s="24"/>
      <c r="W85" s="24"/>
      <c r="X85" s="24"/>
      <c r="Y85" s="24"/>
    </row>
    <row r="86" spans="1:25" ht="15.75" customHeight="1" x14ac:dyDescent="0.25">
      <c r="A86" s="559"/>
      <c r="B86" s="24"/>
      <c r="C86" s="24"/>
      <c r="D86" s="24"/>
      <c r="E86" s="24"/>
      <c r="F86" s="24"/>
      <c r="G86" s="24"/>
      <c r="H86" s="24"/>
      <c r="I86" s="24"/>
      <c r="J86" s="24"/>
      <c r="K86" s="44"/>
      <c r="L86" s="44"/>
      <c r="M86" s="44"/>
      <c r="N86" s="24"/>
      <c r="O86" s="24"/>
      <c r="P86" s="24"/>
      <c r="Q86" s="24"/>
      <c r="R86" s="24"/>
      <c r="S86" s="24"/>
      <c r="T86" s="24"/>
      <c r="U86" s="24"/>
      <c r="V86" s="24"/>
      <c r="W86" s="24"/>
      <c r="X86" s="24"/>
      <c r="Y86" s="24"/>
    </row>
    <row r="87" spans="1:25" ht="15.75" customHeight="1" x14ac:dyDescent="0.25">
      <c r="A87" s="559"/>
      <c r="B87" s="24"/>
      <c r="C87" s="24"/>
      <c r="D87" s="24"/>
      <c r="E87" s="24"/>
      <c r="F87" s="24"/>
      <c r="G87" s="24"/>
      <c r="H87" s="24"/>
      <c r="I87" s="24"/>
      <c r="J87" s="24"/>
      <c r="K87" s="44"/>
      <c r="L87" s="44"/>
      <c r="M87" s="44"/>
      <c r="N87" s="24"/>
      <c r="O87" s="24"/>
      <c r="P87" s="24"/>
      <c r="Q87" s="24"/>
      <c r="R87" s="24"/>
      <c r="S87" s="24"/>
      <c r="T87" s="24"/>
      <c r="U87" s="24"/>
      <c r="V87" s="24"/>
      <c r="W87" s="24"/>
      <c r="X87" s="24"/>
      <c r="Y87" s="24"/>
    </row>
    <row r="88" spans="1:25" ht="15.75" customHeight="1" x14ac:dyDescent="0.25">
      <c r="A88" s="559"/>
      <c r="B88" s="24"/>
      <c r="C88" s="24"/>
      <c r="D88" s="24"/>
      <c r="E88" s="24"/>
      <c r="F88" s="24"/>
      <c r="G88" s="24"/>
      <c r="H88" s="24"/>
      <c r="I88" s="24"/>
      <c r="J88" s="24"/>
      <c r="K88" s="44"/>
      <c r="L88" s="44"/>
      <c r="M88" s="44"/>
      <c r="N88" s="24"/>
      <c r="O88" s="24"/>
      <c r="P88" s="24"/>
      <c r="Q88" s="24"/>
      <c r="R88" s="24"/>
      <c r="S88" s="24"/>
      <c r="T88" s="24"/>
      <c r="U88" s="24"/>
      <c r="V88" s="24"/>
      <c r="W88" s="24"/>
      <c r="X88" s="24"/>
      <c r="Y88" s="24"/>
    </row>
    <row r="89" spans="1:25" ht="15.75" customHeight="1" x14ac:dyDescent="0.25">
      <c r="A89" s="559"/>
      <c r="B89" s="24"/>
      <c r="C89" s="24"/>
      <c r="D89" s="24"/>
      <c r="E89" s="24"/>
      <c r="F89" s="24"/>
      <c r="G89" s="24"/>
      <c r="H89" s="24"/>
      <c r="I89" s="24"/>
      <c r="J89" s="24"/>
      <c r="K89" s="44"/>
      <c r="L89" s="44"/>
      <c r="M89" s="44"/>
      <c r="N89" s="24"/>
      <c r="O89" s="24"/>
      <c r="P89" s="24"/>
      <c r="Q89" s="24"/>
      <c r="R89" s="24"/>
      <c r="S89" s="24"/>
      <c r="T89" s="24"/>
      <c r="U89" s="24"/>
      <c r="V89" s="24"/>
      <c r="W89" s="24"/>
      <c r="X89" s="24"/>
      <c r="Y89" s="24"/>
    </row>
    <row r="90" spans="1:25" ht="15.75" customHeight="1" x14ac:dyDescent="0.25">
      <c r="A90" s="559"/>
      <c r="B90" s="24"/>
      <c r="C90" s="24"/>
      <c r="D90" s="24"/>
      <c r="E90" s="24"/>
      <c r="F90" s="24"/>
      <c r="G90" s="24"/>
      <c r="H90" s="24"/>
      <c r="I90" s="24"/>
      <c r="J90" s="24"/>
      <c r="K90" s="44"/>
      <c r="L90" s="44"/>
      <c r="M90" s="44"/>
      <c r="N90" s="24"/>
      <c r="O90" s="24"/>
      <c r="P90" s="24"/>
      <c r="Q90" s="24"/>
      <c r="R90" s="24"/>
      <c r="S90" s="24"/>
      <c r="T90" s="24"/>
      <c r="U90" s="24"/>
      <c r="V90" s="24"/>
      <c r="W90" s="24"/>
      <c r="X90" s="24"/>
      <c r="Y90" s="24"/>
    </row>
    <row r="91" spans="1:25" ht="15.75" customHeight="1" x14ac:dyDescent="0.25">
      <c r="A91" s="559"/>
      <c r="B91" s="24"/>
      <c r="C91" s="24"/>
      <c r="D91" s="24"/>
      <c r="E91" s="24"/>
      <c r="F91" s="24"/>
      <c r="G91" s="24"/>
      <c r="H91" s="24"/>
      <c r="I91" s="24"/>
      <c r="J91" s="24"/>
      <c r="K91" s="44"/>
      <c r="L91" s="44"/>
      <c r="M91" s="44"/>
      <c r="N91" s="24"/>
      <c r="O91" s="24"/>
      <c r="P91" s="24"/>
      <c r="Q91" s="24"/>
      <c r="R91" s="24"/>
      <c r="S91" s="24"/>
      <c r="T91" s="24"/>
      <c r="U91" s="24"/>
      <c r="V91" s="24"/>
      <c r="W91" s="24"/>
      <c r="X91" s="24"/>
      <c r="Y91" s="24"/>
    </row>
    <row r="92" spans="1:25" ht="15.75" customHeight="1" x14ac:dyDescent="0.25">
      <c r="A92" s="559"/>
      <c r="B92" s="24"/>
      <c r="C92" s="24"/>
      <c r="D92" s="24"/>
      <c r="E92" s="24"/>
      <c r="F92" s="24"/>
      <c r="G92" s="24"/>
      <c r="H92" s="24"/>
      <c r="I92" s="24"/>
      <c r="J92" s="24"/>
      <c r="K92" s="44"/>
      <c r="L92" s="44"/>
      <c r="M92" s="44"/>
      <c r="N92" s="24"/>
      <c r="O92" s="24"/>
      <c r="P92" s="24"/>
      <c r="Q92" s="24"/>
      <c r="R92" s="24"/>
      <c r="S92" s="24"/>
      <c r="T92" s="24"/>
      <c r="U92" s="24"/>
      <c r="V92" s="24"/>
      <c r="W92" s="24"/>
      <c r="X92" s="24"/>
      <c r="Y92" s="24"/>
    </row>
    <row r="93" spans="1:25" ht="15.75" customHeight="1" x14ac:dyDescent="0.25">
      <c r="A93" s="559"/>
      <c r="B93" s="24"/>
      <c r="C93" s="24"/>
      <c r="D93" s="24"/>
      <c r="E93" s="24"/>
      <c r="F93" s="24"/>
      <c r="G93" s="24"/>
      <c r="H93" s="24"/>
      <c r="I93" s="24"/>
      <c r="J93" s="24"/>
      <c r="K93" s="44"/>
      <c r="L93" s="44"/>
      <c r="M93" s="44"/>
      <c r="N93" s="24"/>
      <c r="O93" s="24"/>
      <c r="P93" s="24"/>
      <c r="Q93" s="24"/>
      <c r="R93" s="24"/>
      <c r="S93" s="24"/>
      <c r="T93" s="24"/>
      <c r="U93" s="24"/>
      <c r="V93" s="24"/>
      <c r="W93" s="24"/>
      <c r="X93" s="24"/>
      <c r="Y93" s="24"/>
    </row>
    <row r="94" spans="1:25" ht="15.75" customHeight="1" x14ac:dyDescent="0.25">
      <c r="A94" s="559"/>
      <c r="B94" s="24"/>
      <c r="C94" s="24"/>
      <c r="D94" s="24"/>
      <c r="E94" s="24"/>
      <c r="F94" s="24"/>
      <c r="G94" s="24"/>
      <c r="H94" s="24"/>
      <c r="I94" s="24"/>
      <c r="J94" s="24"/>
      <c r="K94" s="44"/>
      <c r="L94" s="44"/>
      <c r="M94" s="44"/>
      <c r="N94" s="24"/>
      <c r="O94" s="24"/>
      <c r="P94" s="24"/>
      <c r="Q94" s="24"/>
      <c r="R94" s="24"/>
      <c r="S94" s="24"/>
      <c r="T94" s="24"/>
      <c r="U94" s="24"/>
      <c r="V94" s="24"/>
      <c r="W94" s="24"/>
      <c r="X94" s="24"/>
      <c r="Y94" s="24"/>
    </row>
    <row r="95" spans="1:25" ht="15.75" customHeight="1" x14ac:dyDescent="0.25">
      <c r="A95" s="559"/>
      <c r="B95" s="24"/>
      <c r="C95" s="24"/>
      <c r="D95" s="24"/>
      <c r="E95" s="24"/>
      <c r="F95" s="24"/>
      <c r="G95" s="24"/>
      <c r="H95" s="24"/>
      <c r="I95" s="24"/>
      <c r="J95" s="24"/>
      <c r="K95" s="44"/>
      <c r="L95" s="44"/>
      <c r="M95" s="44"/>
      <c r="N95" s="24"/>
      <c r="O95" s="24"/>
      <c r="P95" s="24"/>
      <c r="Q95" s="24"/>
      <c r="R95" s="24"/>
      <c r="S95" s="24"/>
      <c r="T95" s="24"/>
      <c r="U95" s="24"/>
      <c r="V95" s="24"/>
      <c r="W95" s="24"/>
      <c r="X95" s="24"/>
      <c r="Y95" s="24"/>
    </row>
    <row r="96" spans="1:25" ht="15.75" customHeight="1" x14ac:dyDescent="0.25">
      <c r="A96" s="559"/>
      <c r="B96" s="24"/>
      <c r="C96" s="24"/>
      <c r="D96" s="24"/>
      <c r="E96" s="24"/>
      <c r="F96" s="24"/>
      <c r="G96" s="24"/>
      <c r="H96" s="24"/>
      <c r="I96" s="24"/>
      <c r="J96" s="24"/>
      <c r="K96" s="44"/>
      <c r="L96" s="44"/>
      <c r="M96" s="44"/>
      <c r="N96" s="24"/>
      <c r="O96" s="24"/>
      <c r="P96" s="24"/>
      <c r="Q96" s="24"/>
      <c r="R96" s="24"/>
      <c r="S96" s="24"/>
      <c r="T96" s="24"/>
      <c r="U96" s="24"/>
      <c r="V96" s="24"/>
      <c r="W96" s="24"/>
      <c r="X96" s="24"/>
      <c r="Y96" s="24"/>
    </row>
    <row r="97" spans="1:25" ht="15.75" customHeight="1" x14ac:dyDescent="0.25">
      <c r="A97" s="559"/>
      <c r="B97" s="24"/>
      <c r="C97" s="24"/>
      <c r="D97" s="24"/>
      <c r="E97" s="24"/>
      <c r="F97" s="24"/>
      <c r="G97" s="24"/>
      <c r="H97" s="24"/>
      <c r="I97" s="24"/>
      <c r="J97" s="24"/>
      <c r="K97" s="24"/>
      <c r="L97" s="24"/>
      <c r="M97" s="24"/>
      <c r="N97" s="24"/>
      <c r="O97" s="24"/>
      <c r="P97" s="24"/>
      <c r="Q97" s="24"/>
      <c r="R97" s="24"/>
      <c r="S97" s="24"/>
      <c r="T97" s="24"/>
      <c r="U97" s="24"/>
      <c r="V97" s="24"/>
      <c r="W97" s="24"/>
      <c r="X97" s="24"/>
      <c r="Y97" s="24"/>
    </row>
  </sheetData>
  <mergeCells count="2">
    <mergeCell ref="B1:O1"/>
    <mergeCell ref="Q6:U1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0.125" customWidth="1"/>
    <col min="2" max="2" width="10.25" customWidth="1"/>
    <col min="3" max="3" width="10" customWidth="1"/>
    <col min="4" max="4" width="9.75" customWidth="1"/>
    <col min="5" max="5" width="11.625" customWidth="1"/>
    <col min="6" max="6" width="14.125" customWidth="1"/>
    <col min="7" max="7" width="15.25" customWidth="1"/>
    <col min="8" max="8" width="11.75" customWidth="1"/>
    <col min="9" max="21" width="9.375" customWidth="1"/>
  </cols>
  <sheetData>
    <row r="1" spans="1:21" ht="18" customHeight="1" x14ac:dyDescent="0.25">
      <c r="A1" s="60"/>
      <c r="B1" s="640" t="s">
        <v>67</v>
      </c>
      <c r="C1" s="623"/>
      <c r="D1" s="623"/>
      <c r="E1" s="623"/>
      <c r="F1" s="623"/>
      <c r="G1" s="623"/>
      <c r="H1" s="623"/>
      <c r="I1" s="623"/>
      <c r="J1" s="623"/>
      <c r="K1" s="623"/>
      <c r="L1" s="623"/>
      <c r="M1" s="623"/>
      <c r="N1" s="79"/>
      <c r="O1" s="79"/>
      <c r="P1" s="79"/>
      <c r="Q1" s="79"/>
      <c r="R1" s="79"/>
      <c r="S1" s="79"/>
      <c r="T1" s="79"/>
      <c r="U1" s="79"/>
    </row>
    <row r="2" spans="1:21" ht="15.75" customHeight="1" x14ac:dyDescent="0.25">
      <c r="A2" s="119"/>
      <c r="B2" s="4">
        <v>1984</v>
      </c>
      <c r="C2" s="4">
        <v>1988</v>
      </c>
      <c r="D2" s="4">
        <v>1992</v>
      </c>
      <c r="E2" s="4">
        <v>1996</v>
      </c>
      <c r="F2" s="4">
        <v>2000</v>
      </c>
      <c r="G2" s="4">
        <v>2004</v>
      </c>
      <c r="H2" s="4">
        <v>2008</v>
      </c>
      <c r="I2" s="4">
        <v>2010</v>
      </c>
      <c r="J2" s="4">
        <v>2011</v>
      </c>
      <c r="K2" s="4">
        <v>2012</v>
      </c>
      <c r="L2" s="4">
        <v>2013</v>
      </c>
      <c r="M2" s="12">
        <v>2014</v>
      </c>
      <c r="N2" s="12"/>
      <c r="O2" s="12"/>
      <c r="P2" s="12"/>
      <c r="Q2" s="12"/>
      <c r="R2" s="12"/>
      <c r="S2" s="12"/>
      <c r="T2" s="12"/>
      <c r="U2" s="12"/>
    </row>
    <row r="3" spans="1:21" ht="15.75" customHeight="1" x14ac:dyDescent="0.25">
      <c r="A3" s="157" t="s">
        <v>32</v>
      </c>
      <c r="B3" s="32"/>
      <c r="C3" s="32"/>
      <c r="D3" s="32"/>
      <c r="E3" s="32"/>
      <c r="F3" s="32"/>
      <c r="G3" s="32"/>
      <c r="H3" s="32"/>
      <c r="I3" s="32"/>
      <c r="J3" s="32">
        <v>160.5</v>
      </c>
      <c r="K3" s="32">
        <v>157.19999999999999</v>
      </c>
      <c r="L3" s="32">
        <f>108.7+314</f>
        <v>422.7</v>
      </c>
      <c r="M3" s="27">
        <v>414.1</v>
      </c>
      <c r="N3" s="24"/>
      <c r="O3" s="24"/>
      <c r="P3" s="24"/>
      <c r="Q3" s="24"/>
      <c r="R3" s="24"/>
      <c r="S3" s="24"/>
      <c r="T3" s="24"/>
      <c r="U3" s="24"/>
    </row>
    <row r="4" spans="1:21" ht="15.75" customHeight="1" x14ac:dyDescent="0.25">
      <c r="A4" s="69" t="s">
        <v>259</v>
      </c>
      <c r="B4" s="32"/>
      <c r="C4" s="32"/>
      <c r="D4" s="32"/>
      <c r="E4" s="32"/>
      <c r="F4" s="32">
        <v>40.799999999999997</v>
      </c>
      <c r="G4" s="32">
        <v>119.4</v>
      </c>
      <c r="H4" s="32">
        <v>291.10000000000002</v>
      </c>
      <c r="I4" s="32">
        <v>326</v>
      </c>
      <c r="J4" s="32">
        <v>340.3</v>
      </c>
      <c r="K4" s="32">
        <f>108.7+221.3</f>
        <v>330</v>
      </c>
      <c r="L4" s="32" t="s">
        <v>1</v>
      </c>
      <c r="M4" s="6"/>
      <c r="N4" s="24"/>
      <c r="O4" s="24"/>
      <c r="P4" s="24"/>
      <c r="Q4" s="24"/>
      <c r="R4" s="24"/>
      <c r="S4" s="24"/>
      <c r="T4" s="24"/>
      <c r="U4" s="24"/>
    </row>
    <row r="5" spans="1:21" ht="15.75" customHeight="1" x14ac:dyDescent="0.25">
      <c r="A5" s="69" t="s">
        <v>261</v>
      </c>
      <c r="B5" s="32">
        <v>80</v>
      </c>
      <c r="C5" s="32">
        <v>82</v>
      </c>
      <c r="D5" s="32">
        <v>84</v>
      </c>
      <c r="E5" s="32">
        <v>88.2</v>
      </c>
      <c r="F5" s="32">
        <v>90.9</v>
      </c>
      <c r="G5" s="32">
        <v>162.9</v>
      </c>
      <c r="H5" s="32" t="s">
        <v>262</v>
      </c>
      <c r="I5" s="32"/>
      <c r="J5" s="32"/>
      <c r="K5" s="32"/>
      <c r="L5" s="32"/>
      <c r="M5" s="6"/>
      <c r="N5" s="24"/>
      <c r="O5" s="24"/>
      <c r="P5" s="24"/>
      <c r="Q5" s="24"/>
      <c r="R5" s="24"/>
      <c r="S5" s="24"/>
      <c r="T5" s="24"/>
      <c r="U5" s="24"/>
    </row>
    <row r="6" spans="1:21" ht="15.75" customHeight="1" x14ac:dyDescent="0.25">
      <c r="A6" s="69" t="s">
        <v>263</v>
      </c>
      <c r="B6" s="32">
        <v>22.8</v>
      </c>
      <c r="C6" s="32">
        <v>32.5</v>
      </c>
      <c r="D6" s="32">
        <v>46.3</v>
      </c>
      <c r="E6" s="32">
        <v>66.099999999999994</v>
      </c>
      <c r="F6" s="32">
        <v>125.3</v>
      </c>
      <c r="G6" s="29" t="s">
        <v>264</v>
      </c>
      <c r="H6" s="32"/>
      <c r="I6" s="32"/>
      <c r="J6" s="32"/>
      <c r="K6" s="32"/>
      <c r="L6" s="32"/>
      <c r="M6" s="6"/>
      <c r="N6" s="24"/>
      <c r="O6" s="24"/>
      <c r="P6" s="626" t="s">
        <v>8</v>
      </c>
      <c r="Q6" s="623"/>
      <c r="R6" s="623"/>
      <c r="S6" s="623"/>
      <c r="T6" s="623"/>
      <c r="U6" s="623"/>
    </row>
    <row r="7" spans="1:21" ht="15.75" customHeight="1" x14ac:dyDescent="0.25">
      <c r="A7" s="69" t="s">
        <v>265</v>
      </c>
      <c r="B7" s="32">
        <v>0.70774647887323949</v>
      </c>
      <c r="C7" s="32">
        <v>0.99084507042253533</v>
      </c>
      <c r="D7" s="32">
        <v>3.75</v>
      </c>
      <c r="E7" s="32">
        <v>4.5999999999999996</v>
      </c>
      <c r="F7" s="32" t="s">
        <v>267</v>
      </c>
      <c r="G7" s="32"/>
      <c r="H7" s="32"/>
      <c r="I7" s="32"/>
      <c r="J7" s="32"/>
      <c r="K7" s="32"/>
      <c r="L7" s="32"/>
      <c r="M7" s="6"/>
      <c r="N7" s="24"/>
      <c r="O7" s="24"/>
      <c r="P7" s="623"/>
      <c r="Q7" s="623"/>
      <c r="R7" s="623"/>
      <c r="S7" s="623"/>
      <c r="T7" s="623"/>
      <c r="U7" s="623"/>
    </row>
    <row r="8" spans="1:21" ht="15.75" customHeight="1" x14ac:dyDescent="0.25">
      <c r="A8" s="69" t="s">
        <v>268</v>
      </c>
      <c r="B8" s="32">
        <v>13.7</v>
      </c>
      <c r="C8" s="32">
        <v>19.600000000000001</v>
      </c>
      <c r="D8" s="32">
        <v>27.9</v>
      </c>
      <c r="E8" s="32">
        <v>39.799999999999997</v>
      </c>
      <c r="F8" s="32" t="s">
        <v>269</v>
      </c>
      <c r="G8" s="32"/>
      <c r="H8" s="32"/>
      <c r="I8" s="32"/>
      <c r="J8" s="32"/>
      <c r="K8" s="32"/>
      <c r="L8" s="32"/>
      <c r="M8" s="6"/>
      <c r="N8" s="24"/>
      <c r="O8" s="24"/>
      <c r="P8" s="623"/>
      <c r="Q8" s="623"/>
      <c r="R8" s="623"/>
      <c r="S8" s="623"/>
      <c r="T8" s="623"/>
      <c r="U8" s="623"/>
    </row>
    <row r="9" spans="1:21" ht="15.75" customHeight="1" x14ac:dyDescent="0.25">
      <c r="A9" s="69" t="s">
        <v>271</v>
      </c>
      <c r="B9" s="32"/>
      <c r="C9" s="32"/>
      <c r="D9" s="32"/>
      <c r="E9" s="32"/>
      <c r="F9" s="32"/>
      <c r="G9" s="32"/>
      <c r="H9" s="32">
        <v>172.1</v>
      </c>
      <c r="I9" s="32">
        <v>161.19999999999999</v>
      </c>
      <c r="J9" s="32" t="s">
        <v>32</v>
      </c>
      <c r="K9" s="32"/>
      <c r="L9" s="32"/>
      <c r="M9" s="6"/>
      <c r="N9" s="24"/>
      <c r="O9" s="24"/>
      <c r="P9" s="623"/>
      <c r="Q9" s="623"/>
      <c r="R9" s="623"/>
      <c r="S9" s="623"/>
      <c r="T9" s="623"/>
      <c r="U9" s="623"/>
    </row>
    <row r="10" spans="1:21" ht="15.75" customHeight="1" x14ac:dyDescent="0.25">
      <c r="A10" s="69" t="s">
        <v>272</v>
      </c>
      <c r="B10" s="32"/>
      <c r="C10" s="32"/>
      <c r="D10" s="32"/>
      <c r="E10" s="32"/>
      <c r="F10" s="32"/>
      <c r="G10" s="32"/>
      <c r="H10" s="32" t="s">
        <v>273</v>
      </c>
      <c r="I10" s="32"/>
      <c r="J10" s="32"/>
      <c r="K10" s="32"/>
      <c r="L10" s="32"/>
      <c r="M10" s="6"/>
      <c r="N10" s="24"/>
      <c r="O10" s="24"/>
      <c r="P10" s="623"/>
      <c r="Q10" s="623"/>
      <c r="R10" s="623"/>
      <c r="S10" s="623"/>
      <c r="T10" s="623"/>
      <c r="U10" s="623"/>
    </row>
    <row r="11" spans="1:21" ht="15.75" customHeight="1" x14ac:dyDescent="0.25">
      <c r="A11" s="69" t="s">
        <v>274</v>
      </c>
      <c r="B11" s="32">
        <v>30.2</v>
      </c>
      <c r="C11" s="32">
        <v>51.2</v>
      </c>
      <c r="D11" s="32">
        <v>74</v>
      </c>
      <c r="E11" s="32">
        <v>69.7</v>
      </c>
      <c r="F11" s="32">
        <v>98.2</v>
      </c>
      <c r="G11" s="32">
        <v>122.8</v>
      </c>
      <c r="H11" s="32" t="s">
        <v>275</v>
      </c>
      <c r="I11" s="32"/>
      <c r="J11" s="32"/>
      <c r="K11" s="32"/>
      <c r="L11" s="32"/>
      <c r="M11" s="6"/>
      <c r="N11" s="24"/>
      <c r="O11" s="24"/>
      <c r="P11" s="623"/>
      <c r="Q11" s="623"/>
      <c r="R11" s="623"/>
      <c r="S11" s="623"/>
      <c r="T11" s="623"/>
      <c r="U11" s="623"/>
    </row>
    <row r="12" spans="1:21" ht="15.75" customHeight="1" x14ac:dyDescent="0.25">
      <c r="A12" s="69" t="s">
        <v>277</v>
      </c>
      <c r="B12" s="32">
        <v>251.18999999999997</v>
      </c>
      <c r="C12" s="32">
        <v>275.96999999999997</v>
      </c>
      <c r="D12" s="32">
        <v>270.18</v>
      </c>
      <c r="E12" s="32">
        <v>288.98999999999995</v>
      </c>
      <c r="F12" s="32">
        <v>280.41000000000003</v>
      </c>
      <c r="G12" s="32">
        <v>316.05</v>
      </c>
      <c r="H12" s="32">
        <v>396.6</v>
      </c>
      <c r="I12" s="32">
        <v>364.7</v>
      </c>
      <c r="J12" s="32">
        <v>336.9</v>
      </c>
      <c r="K12" s="32">
        <v>325.8</v>
      </c>
      <c r="L12" s="233">
        <v>304.8</v>
      </c>
      <c r="M12" s="27">
        <v>288.7</v>
      </c>
      <c r="N12" s="24"/>
      <c r="O12" s="24"/>
      <c r="P12" s="623"/>
      <c r="Q12" s="623"/>
      <c r="R12" s="623"/>
      <c r="S12" s="623"/>
      <c r="T12" s="623"/>
      <c r="U12" s="623"/>
    </row>
    <row r="13" spans="1:21" ht="15.75" customHeight="1" x14ac:dyDescent="0.25">
      <c r="A13" s="69" t="s">
        <v>17</v>
      </c>
      <c r="B13" s="32">
        <v>23</v>
      </c>
      <c r="C13" s="32">
        <v>25.2</v>
      </c>
      <c r="D13" s="32">
        <v>36</v>
      </c>
      <c r="E13" s="32">
        <v>77.900000000000006</v>
      </c>
      <c r="F13" s="32">
        <v>141.1</v>
      </c>
      <c r="G13" s="32">
        <v>204.7</v>
      </c>
      <c r="H13" s="32">
        <v>241.3</v>
      </c>
      <c r="I13" s="32">
        <v>204.4</v>
      </c>
      <c r="J13" s="32">
        <v>220.8</v>
      </c>
      <c r="K13" s="32">
        <v>225.1</v>
      </c>
      <c r="L13" s="32">
        <v>224.5</v>
      </c>
      <c r="M13" s="27">
        <v>228.5</v>
      </c>
      <c r="N13" s="24"/>
      <c r="O13" s="24"/>
      <c r="P13" s="623"/>
      <c r="Q13" s="623"/>
      <c r="R13" s="623"/>
      <c r="S13" s="623"/>
      <c r="T13" s="623"/>
      <c r="U13" s="623"/>
    </row>
    <row r="14" spans="1:21" ht="15.75" customHeight="1" x14ac:dyDescent="0.25">
      <c r="A14" s="69" t="s">
        <v>401</v>
      </c>
      <c r="B14" s="32">
        <v>17.349300000000003</v>
      </c>
      <c r="C14" s="32">
        <v>23</v>
      </c>
      <c r="D14" s="32">
        <v>35.4</v>
      </c>
      <c r="E14" s="32" t="s">
        <v>145</v>
      </c>
      <c r="F14" s="32"/>
      <c r="G14" s="32"/>
      <c r="H14" s="32"/>
      <c r="I14" s="32"/>
      <c r="J14" s="32"/>
      <c r="K14" s="32"/>
      <c r="L14" s="32"/>
      <c r="M14" s="6"/>
      <c r="N14" s="24"/>
      <c r="O14" s="24"/>
      <c r="P14" s="24"/>
      <c r="Q14" s="24"/>
      <c r="R14" s="24"/>
      <c r="S14" s="24"/>
      <c r="T14" s="24"/>
      <c r="U14" s="24"/>
    </row>
    <row r="15" spans="1:21" ht="15.75" customHeight="1" x14ac:dyDescent="0.25">
      <c r="A15" s="69" t="s">
        <v>149</v>
      </c>
      <c r="B15" s="32">
        <v>24.2</v>
      </c>
      <c r="C15" s="32">
        <v>20.7</v>
      </c>
      <c r="D15" s="32" t="s">
        <v>405</v>
      </c>
      <c r="E15" s="32"/>
      <c r="F15" s="32"/>
      <c r="G15" s="32"/>
      <c r="H15" s="32"/>
      <c r="I15" s="32"/>
      <c r="J15" s="32"/>
      <c r="K15" s="32"/>
      <c r="L15" s="32"/>
      <c r="M15" s="6"/>
      <c r="N15" s="24"/>
      <c r="O15" s="24"/>
      <c r="P15" s="24"/>
      <c r="Q15" s="24"/>
      <c r="R15" s="24"/>
      <c r="S15" s="24"/>
      <c r="T15" s="24"/>
      <c r="U15" s="24"/>
    </row>
    <row r="16" spans="1:21" ht="15.75" customHeight="1" x14ac:dyDescent="0.25">
      <c r="A16" s="69" t="s">
        <v>409</v>
      </c>
      <c r="B16" s="32">
        <v>5.0999999999999996</v>
      </c>
      <c r="C16" s="32">
        <v>4.2</v>
      </c>
      <c r="D16" s="32">
        <v>5.7</v>
      </c>
      <c r="E16" s="32">
        <v>48.6</v>
      </c>
      <c r="F16" s="32">
        <v>166.7</v>
      </c>
      <c r="G16" s="32">
        <v>227.9</v>
      </c>
      <c r="H16" s="32">
        <v>286.39999999999998</v>
      </c>
      <c r="I16" s="32">
        <v>261.10000000000002</v>
      </c>
      <c r="J16" s="32">
        <v>195.7</v>
      </c>
      <c r="K16" s="32">
        <v>191.4</v>
      </c>
      <c r="L16" s="32">
        <v>183.7</v>
      </c>
      <c r="M16" s="27">
        <v>172.6</v>
      </c>
      <c r="N16" s="24"/>
      <c r="O16" s="24"/>
      <c r="P16" s="24"/>
      <c r="Q16" s="24"/>
      <c r="R16" s="24"/>
      <c r="S16" s="24"/>
      <c r="T16" s="24"/>
      <c r="U16" s="24"/>
    </row>
    <row r="17" spans="1:21" ht="15.75" customHeight="1" x14ac:dyDescent="0.25">
      <c r="A17" s="69" t="s">
        <v>412</v>
      </c>
      <c r="B17" s="32">
        <v>7.7</v>
      </c>
      <c r="C17" s="32">
        <v>11.1</v>
      </c>
      <c r="D17" s="32">
        <v>15.8</v>
      </c>
      <c r="E17" s="32">
        <v>22.5</v>
      </c>
      <c r="F17" s="32">
        <v>32.5</v>
      </c>
      <c r="G17" s="32" t="s">
        <v>74</v>
      </c>
      <c r="H17" s="32"/>
      <c r="I17" s="32"/>
      <c r="J17" s="32"/>
      <c r="K17" s="32"/>
      <c r="L17" s="32"/>
      <c r="M17" s="6"/>
      <c r="N17" s="24"/>
      <c r="O17" s="24"/>
      <c r="P17" s="24"/>
      <c r="Q17" s="24"/>
      <c r="R17" s="24"/>
      <c r="S17" s="24"/>
      <c r="T17" s="24"/>
      <c r="U17" s="24"/>
    </row>
    <row r="18" spans="1:21" ht="15.75" customHeight="1" x14ac:dyDescent="0.25">
      <c r="A18" s="69" t="s">
        <v>416</v>
      </c>
      <c r="B18" s="32">
        <v>23.9</v>
      </c>
      <c r="C18" s="32">
        <v>34</v>
      </c>
      <c r="D18" s="32">
        <v>48.6</v>
      </c>
      <c r="E18" s="32">
        <v>69.3</v>
      </c>
      <c r="F18" s="32" t="s">
        <v>16</v>
      </c>
      <c r="G18" s="32"/>
      <c r="H18" s="32"/>
      <c r="I18" s="32"/>
      <c r="J18" s="32"/>
      <c r="K18" s="32"/>
      <c r="L18" s="32"/>
      <c r="M18" s="6"/>
      <c r="N18" s="24"/>
      <c r="O18" s="24"/>
      <c r="P18" s="24"/>
      <c r="Q18" s="24"/>
      <c r="R18" s="24"/>
      <c r="S18" s="24"/>
      <c r="T18" s="24"/>
      <c r="U18" s="24"/>
    </row>
    <row r="19" spans="1:21" ht="15.75" customHeight="1" x14ac:dyDescent="0.25">
      <c r="A19" s="69" t="s">
        <v>417</v>
      </c>
      <c r="B19" s="32"/>
      <c r="C19" s="32">
        <v>9.4</v>
      </c>
      <c r="D19" s="32">
        <v>13.5</v>
      </c>
      <c r="E19" s="32">
        <v>19.2</v>
      </c>
      <c r="F19" s="32">
        <v>32.200000000000003</v>
      </c>
      <c r="G19" s="32">
        <v>58</v>
      </c>
      <c r="H19" s="32">
        <v>95.8</v>
      </c>
      <c r="I19" s="32">
        <v>105.5</v>
      </c>
      <c r="J19" s="32">
        <v>113.6</v>
      </c>
      <c r="K19" s="32">
        <v>117.1</v>
      </c>
      <c r="L19" s="32">
        <v>122</v>
      </c>
      <c r="M19" s="27">
        <v>135.69999999999999</v>
      </c>
      <c r="N19" s="24"/>
      <c r="O19" s="24"/>
      <c r="P19" s="24"/>
      <c r="Q19" s="24"/>
      <c r="R19" s="24"/>
      <c r="S19" s="24"/>
      <c r="T19" s="24"/>
      <c r="U19" s="24"/>
    </row>
    <row r="20" spans="1:21" ht="15.75" customHeight="1" x14ac:dyDescent="0.25">
      <c r="A20" s="69" t="s">
        <v>419</v>
      </c>
      <c r="B20" s="32">
        <v>12.2</v>
      </c>
      <c r="C20" s="32">
        <v>17.399999999999999</v>
      </c>
      <c r="D20" s="32">
        <v>26</v>
      </c>
      <c r="E20" s="32"/>
      <c r="F20" s="32"/>
      <c r="G20" s="32"/>
      <c r="H20" s="32"/>
      <c r="I20" s="32"/>
      <c r="J20" s="32"/>
      <c r="K20" s="32"/>
      <c r="L20" s="32"/>
      <c r="M20" s="6"/>
      <c r="N20" s="24"/>
      <c r="O20" s="24"/>
      <c r="P20" s="24"/>
      <c r="Q20" s="24"/>
      <c r="R20" s="24"/>
      <c r="S20" s="24"/>
      <c r="T20" s="24"/>
      <c r="U20" s="24"/>
    </row>
    <row r="21" spans="1:21" ht="15.75" customHeight="1" x14ac:dyDescent="0.25">
      <c r="A21" s="69" t="s">
        <v>20</v>
      </c>
      <c r="B21" s="32"/>
      <c r="C21" s="32"/>
      <c r="D21" s="32"/>
      <c r="E21" s="32"/>
      <c r="F21" s="32"/>
      <c r="G21" s="32"/>
      <c r="H21" s="32">
        <v>33.200000000000003</v>
      </c>
      <c r="I21" s="32">
        <v>41.8</v>
      </c>
      <c r="J21" s="32">
        <v>84.1</v>
      </c>
      <c r="K21" s="32">
        <v>95.4</v>
      </c>
      <c r="L21" s="32">
        <v>94.7</v>
      </c>
      <c r="M21" s="27">
        <v>97.1</v>
      </c>
      <c r="N21" s="24"/>
      <c r="O21" s="24"/>
      <c r="P21" s="24"/>
      <c r="Q21" s="24"/>
      <c r="R21" s="24"/>
      <c r="S21" s="24"/>
      <c r="T21" s="24"/>
      <c r="U21" s="24"/>
    </row>
    <row r="22" spans="1:21" ht="15.75" customHeight="1" x14ac:dyDescent="0.25">
      <c r="A22" s="69" t="s">
        <v>422</v>
      </c>
      <c r="B22" s="32"/>
      <c r="C22" s="32"/>
      <c r="D22" s="32"/>
      <c r="E22" s="32"/>
      <c r="F22" s="32"/>
      <c r="G22" s="32">
        <v>33.6</v>
      </c>
      <c r="H22" s="32">
        <v>40.799999999999997</v>
      </c>
      <c r="I22" s="32">
        <v>44.322302158273374</v>
      </c>
      <c r="J22" s="32">
        <v>45.080778451272415</v>
      </c>
      <c r="K22" s="32">
        <v>46.278616011557681</v>
      </c>
      <c r="L22" s="32">
        <v>45.596565330509321</v>
      </c>
      <c r="M22" s="6">
        <f t="shared" ref="M22:M25" si="0">L22*1.018</f>
        <v>46.417303506458488</v>
      </c>
      <c r="N22" s="24"/>
      <c r="O22" s="24"/>
      <c r="P22" s="24"/>
      <c r="Q22" s="24"/>
      <c r="R22" s="24"/>
      <c r="S22" s="24"/>
      <c r="T22" s="24"/>
      <c r="U22" s="24"/>
    </row>
    <row r="23" spans="1:21" ht="15.75" customHeight="1" x14ac:dyDescent="0.25">
      <c r="A23" s="69" t="s">
        <v>428</v>
      </c>
      <c r="B23" s="32">
        <v>5.2</v>
      </c>
      <c r="C23" s="32">
        <v>7.4</v>
      </c>
      <c r="D23" s="32">
        <v>10.6</v>
      </c>
      <c r="E23" s="32">
        <v>15.1</v>
      </c>
      <c r="F23" s="32">
        <v>17.2</v>
      </c>
      <c r="G23" s="32">
        <v>28.9</v>
      </c>
      <c r="H23" s="32">
        <v>35.083842794759825</v>
      </c>
      <c r="I23" s="32">
        <v>38.112663755458513</v>
      </c>
      <c r="J23" s="32">
        <v>38.764876084554849</v>
      </c>
      <c r="K23" s="32">
        <v>39.794894335993746</v>
      </c>
      <c r="L23" s="32">
        <v>39.208400245994738</v>
      </c>
      <c r="M23" s="6">
        <f t="shared" si="0"/>
        <v>39.914151450422644</v>
      </c>
      <c r="N23" s="24"/>
      <c r="O23" s="24"/>
      <c r="P23" s="24"/>
      <c r="Q23" s="24"/>
      <c r="R23" s="24"/>
      <c r="S23" s="24"/>
      <c r="T23" s="24"/>
      <c r="U23" s="24"/>
    </row>
    <row r="24" spans="1:21" ht="15.75" customHeight="1" x14ac:dyDescent="0.25">
      <c r="A24" s="69" t="s">
        <v>432</v>
      </c>
      <c r="B24" s="32">
        <v>5.6</v>
      </c>
      <c r="C24" s="32">
        <v>8</v>
      </c>
      <c r="D24" s="32">
        <v>11.4</v>
      </c>
      <c r="E24" s="32">
        <v>16.3</v>
      </c>
      <c r="F24" s="32">
        <v>23.2</v>
      </c>
      <c r="G24" s="32">
        <v>22.9</v>
      </c>
      <c r="H24" s="32">
        <v>27.8</v>
      </c>
      <c r="I24" s="32">
        <v>30.2</v>
      </c>
      <c r="J24" s="32">
        <v>30.716804925131701</v>
      </c>
      <c r="K24" s="32">
        <v>31.532978556894701</v>
      </c>
      <c r="L24" s="32">
        <v>31.068247945788222</v>
      </c>
      <c r="M24" s="6">
        <f t="shared" si="0"/>
        <v>31.627476408812409</v>
      </c>
      <c r="N24" s="24"/>
      <c r="O24" s="24"/>
      <c r="P24" s="24"/>
      <c r="Q24" s="24"/>
      <c r="R24" s="24"/>
      <c r="S24" s="24"/>
      <c r="T24" s="24"/>
      <c r="U24" s="24"/>
    </row>
    <row r="25" spans="1:21" ht="15.75" customHeight="1" x14ac:dyDescent="0.25">
      <c r="A25" s="69" t="s">
        <v>433</v>
      </c>
      <c r="B25" s="32">
        <v>5.3</v>
      </c>
      <c r="C25" s="32">
        <v>7.6</v>
      </c>
      <c r="D25" s="32">
        <v>10.9</v>
      </c>
      <c r="E25" s="32">
        <v>15.5</v>
      </c>
      <c r="F25" s="32">
        <v>22.1</v>
      </c>
      <c r="G25" s="32">
        <v>27.1</v>
      </c>
      <c r="H25" s="32">
        <v>32.9</v>
      </c>
      <c r="I25" s="32">
        <v>29</v>
      </c>
      <c r="J25" s="32">
        <v>29.496269630093401</v>
      </c>
      <c r="K25" s="32">
        <v>30.2800125215213</v>
      </c>
      <c r="L25" s="32">
        <v>29.833748027412433</v>
      </c>
      <c r="M25" s="6">
        <f t="shared" si="0"/>
        <v>30.370755491905857</v>
      </c>
      <c r="N25" s="24"/>
      <c r="O25" s="24"/>
      <c r="P25" s="24"/>
      <c r="Q25" s="24"/>
      <c r="R25" s="24"/>
      <c r="S25" s="24"/>
      <c r="T25" s="24"/>
      <c r="U25" s="24"/>
    </row>
    <row r="26" spans="1:21" ht="15.75" customHeight="1" x14ac:dyDescent="0.25">
      <c r="A26" s="69" t="s">
        <v>110</v>
      </c>
      <c r="B26" s="32">
        <v>282.75295352112687</v>
      </c>
      <c r="C26" s="32">
        <v>369.34615492957744</v>
      </c>
      <c r="D26" s="32">
        <v>318.10899999999992</v>
      </c>
      <c r="E26" s="32">
        <v>257.2560000000002</v>
      </c>
      <c r="F26" s="32">
        <v>260.33399999999983</v>
      </c>
      <c r="G26" s="32">
        <v>258.79299999999967</v>
      </c>
      <c r="H26" s="32">
        <v>316.44415720524012</v>
      </c>
      <c r="I26" s="32">
        <v>385.87003408626811</v>
      </c>
      <c r="J26" s="32">
        <v>429.65327090894789</v>
      </c>
      <c r="K26" s="32">
        <v>428.05349857403257</v>
      </c>
      <c r="L26" s="32">
        <v>500.67603845029544</v>
      </c>
      <c r="M26" s="27">
        <v>417.9</v>
      </c>
      <c r="N26" s="24"/>
      <c r="O26" s="24"/>
      <c r="P26" s="24"/>
      <c r="Q26" s="24"/>
      <c r="R26" s="24"/>
      <c r="S26" s="24"/>
      <c r="T26" s="24"/>
      <c r="U26" s="24"/>
    </row>
    <row r="27" spans="1:21" ht="15.75" customHeight="1" x14ac:dyDescent="0.25">
      <c r="A27" s="69"/>
      <c r="B27" s="32"/>
      <c r="C27" s="32"/>
      <c r="D27" s="32"/>
      <c r="E27" s="32"/>
      <c r="F27" s="32"/>
      <c r="G27" s="32"/>
      <c r="H27" s="32"/>
      <c r="I27" s="32"/>
      <c r="J27" s="32"/>
      <c r="K27" s="32"/>
      <c r="L27" s="32"/>
      <c r="M27" s="6"/>
      <c r="N27" s="24"/>
      <c r="O27" s="24"/>
      <c r="P27" s="24"/>
      <c r="Q27" s="24"/>
      <c r="R27" s="24"/>
      <c r="S27" s="24"/>
      <c r="T27" s="24"/>
      <c r="U27" s="24"/>
    </row>
    <row r="28" spans="1:21" ht="15.75" customHeight="1" x14ac:dyDescent="0.25">
      <c r="A28" s="69"/>
      <c r="B28" s="32"/>
      <c r="C28" s="32"/>
      <c r="D28" s="32"/>
      <c r="E28" s="32"/>
      <c r="F28" s="32"/>
      <c r="G28" s="32"/>
      <c r="H28" s="32"/>
      <c r="I28" s="32"/>
      <c r="J28" s="32"/>
      <c r="K28" s="32"/>
      <c r="L28" s="32"/>
      <c r="M28" s="6"/>
      <c r="N28" s="24"/>
      <c r="O28" s="24"/>
      <c r="P28" s="24"/>
      <c r="Q28" s="24"/>
      <c r="R28" s="24"/>
      <c r="S28" s="24"/>
      <c r="T28" s="24"/>
      <c r="U28" s="24"/>
    </row>
    <row r="29" spans="1:21" ht="15.75" customHeight="1" x14ac:dyDescent="0.25">
      <c r="A29" s="69"/>
      <c r="B29" s="32"/>
      <c r="C29" s="32"/>
      <c r="D29" s="32"/>
      <c r="E29" s="32"/>
      <c r="F29" s="32"/>
      <c r="G29" s="32"/>
      <c r="H29" s="32"/>
      <c r="I29" s="32"/>
      <c r="J29" s="32"/>
      <c r="K29" s="32"/>
      <c r="L29" s="32"/>
      <c r="M29" s="6"/>
      <c r="N29" s="24"/>
      <c r="O29" s="24"/>
      <c r="P29" s="24"/>
      <c r="Q29" s="24"/>
      <c r="R29" s="24"/>
      <c r="S29" s="24"/>
      <c r="T29" s="24"/>
      <c r="U29" s="24"/>
    </row>
    <row r="30" spans="1:21" ht="15.75" customHeight="1" x14ac:dyDescent="0.25">
      <c r="A30" s="246" t="s">
        <v>41</v>
      </c>
      <c r="B30" s="247">
        <v>810.90000000000009</v>
      </c>
      <c r="C30" s="247">
        <v>999.60699999999997</v>
      </c>
      <c r="D30" s="247">
        <v>1038.1389999999999</v>
      </c>
      <c r="E30" s="247">
        <v>1099.046</v>
      </c>
      <c r="F30" s="247">
        <v>1330.944</v>
      </c>
      <c r="G30" s="247">
        <v>1583.0429999999999</v>
      </c>
      <c r="H30" s="247">
        <v>1969.528</v>
      </c>
      <c r="I30" s="247">
        <v>1992.2049999999999</v>
      </c>
      <c r="J30" s="247">
        <v>2025.6120000000001</v>
      </c>
      <c r="K30" s="247">
        <v>2017.94</v>
      </c>
      <c r="L30" s="247">
        <v>1998.7830000000001</v>
      </c>
      <c r="M30" s="249">
        <v>1902.7</v>
      </c>
      <c r="N30" s="42"/>
      <c r="O30" s="42"/>
      <c r="P30" s="42"/>
      <c r="Q30" s="42"/>
      <c r="R30" s="42"/>
      <c r="S30" s="42"/>
      <c r="T30" s="42"/>
      <c r="U30" s="42"/>
    </row>
    <row r="31" spans="1:21" ht="15.75" customHeight="1" x14ac:dyDescent="0.25">
      <c r="A31" s="246" t="s">
        <v>112</v>
      </c>
      <c r="B31" s="165">
        <f>'Radio (MS)'!B31</f>
        <v>47.550869404365507</v>
      </c>
      <c r="C31" s="165">
        <f>'Radio (MS)'!C31</f>
        <v>44.334423428407355</v>
      </c>
      <c r="D31" s="165">
        <f>'Radio (MS)'!D31</f>
        <v>45.926412551691058</v>
      </c>
      <c r="E31" s="165">
        <f>'Radio (MS)'!E31</f>
        <v>47.749593738569629</v>
      </c>
      <c r="F31" s="165">
        <f>'Radio (MS)'!F31</f>
        <v>53.609317897672632</v>
      </c>
      <c r="G31" s="165">
        <f>'Radio (MS)'!G31</f>
        <v>57.582137693038035</v>
      </c>
      <c r="H31" s="165">
        <f>'Radio (MS)'!H31</f>
        <v>61.710216864142076</v>
      </c>
      <c r="I31" s="165">
        <f>'Radio (MS)'!I31</f>
        <v>58.036196074199196</v>
      </c>
      <c r="J31" s="165">
        <f>'Radio (MS)'!J31</f>
        <v>53.993558489977353</v>
      </c>
      <c r="K31" s="165">
        <f>'Radio (MS)'!K31</f>
        <v>53.138349009385799</v>
      </c>
      <c r="L31" s="165">
        <f>'Radio (MS)'!L31</f>
        <v>56.819574711211764</v>
      </c>
      <c r="M31" s="165">
        <f>'Radio (MS)'!M31</f>
        <v>58.01755400220739</v>
      </c>
      <c r="N31" s="275"/>
      <c r="O31" s="275"/>
      <c r="P31" s="275"/>
      <c r="Q31" s="275"/>
      <c r="R31" s="275"/>
      <c r="S31" s="275"/>
      <c r="T31" s="275"/>
      <c r="U31" s="275"/>
    </row>
    <row r="32" spans="1:21" ht="15.75" customHeight="1" x14ac:dyDescent="0.25">
      <c r="A32" s="246" t="s">
        <v>43</v>
      </c>
      <c r="B32" s="165">
        <f>'Radio (MS)'!B32</f>
        <v>1116.6144244279585</v>
      </c>
      <c r="C32" s="165">
        <f>'Radio (MS)'!C32</f>
        <v>904.74391572049888</v>
      </c>
      <c r="D32" s="165">
        <f>'Radio (MS)'!D32</f>
        <v>880.34848689121281</v>
      </c>
      <c r="E32" s="165">
        <f>'Radio (MS)'!E32</f>
        <v>968.36208100312842</v>
      </c>
      <c r="F32" s="165">
        <f>'Radio (MS)'!F32</f>
        <v>931.54068344891982</v>
      </c>
      <c r="G32" s="165">
        <f>'Radio (MS)'!G32</f>
        <v>1022.2870410447542</v>
      </c>
      <c r="H32" s="165">
        <f>'Radio (MS)'!H32</f>
        <v>1100.6084399387023</v>
      </c>
      <c r="I32" s="165">
        <f>'Radio (MS)'!I32</f>
        <v>990.87802125477083</v>
      </c>
      <c r="J32" s="165">
        <f>'Radio (MS)'!J32</f>
        <v>895.52542784724187</v>
      </c>
      <c r="K32" s="165">
        <f>'Radio (MS)'!K32</f>
        <v>873.04623400160961</v>
      </c>
      <c r="L32" s="165">
        <f>'Radio (MS)'!L32</f>
        <v>963.79256361321018</v>
      </c>
      <c r="M32" s="165">
        <f>'Radio (MS)'!M32</f>
        <v>1022.9708635794045</v>
      </c>
      <c r="N32" s="275"/>
      <c r="O32" s="275"/>
      <c r="P32" s="275"/>
      <c r="Q32" s="275"/>
      <c r="R32" s="275"/>
      <c r="S32" s="275"/>
      <c r="T32" s="275"/>
      <c r="U32" s="275"/>
    </row>
    <row r="33" spans="1:21" ht="15.75" customHeight="1" x14ac:dyDescent="0.25">
      <c r="A33" s="69"/>
      <c r="B33" s="32"/>
      <c r="C33" s="32"/>
      <c r="D33" s="32"/>
      <c r="E33" s="32"/>
      <c r="F33" s="32"/>
      <c r="G33" s="32"/>
      <c r="H33" s="32"/>
      <c r="I33" s="32"/>
      <c r="J33" s="32"/>
      <c r="K33" s="32"/>
      <c r="L33" s="32"/>
      <c r="M33" s="6"/>
      <c r="N33" s="24"/>
      <c r="O33" s="24"/>
      <c r="P33" s="24"/>
      <c r="Q33" s="24"/>
      <c r="R33" s="24"/>
      <c r="S33" s="24"/>
      <c r="T33" s="24"/>
      <c r="U33" s="24"/>
    </row>
    <row r="34" spans="1:21" ht="15.75" customHeight="1" x14ac:dyDescent="0.25">
      <c r="A34" s="9"/>
      <c r="B34" s="631" t="s">
        <v>46</v>
      </c>
      <c r="C34" s="623"/>
      <c r="D34" s="623"/>
      <c r="E34" s="623"/>
      <c r="F34" s="11"/>
      <c r="G34" s="11"/>
      <c r="H34" s="11"/>
      <c r="I34" s="11"/>
      <c r="J34" s="11"/>
      <c r="K34" s="11"/>
      <c r="L34" s="11"/>
      <c r="M34" s="24"/>
      <c r="N34" s="24"/>
      <c r="O34" s="24"/>
      <c r="P34" s="24"/>
      <c r="Q34" s="24"/>
      <c r="R34" s="24"/>
      <c r="S34" s="24"/>
      <c r="T34" s="24"/>
      <c r="U34" s="24"/>
    </row>
    <row r="35" spans="1:21" ht="15.75" customHeight="1" x14ac:dyDescent="0.25">
      <c r="A35" s="9"/>
      <c r="B35" s="642" t="s">
        <v>498</v>
      </c>
      <c r="C35" s="623"/>
      <c r="D35" s="623"/>
      <c r="E35" s="623"/>
      <c r="F35" s="623"/>
      <c r="G35" s="623"/>
      <c r="H35" s="623"/>
      <c r="I35" s="623"/>
      <c r="J35" s="623"/>
      <c r="K35" s="623"/>
      <c r="L35" s="623"/>
      <c r="M35" s="623"/>
      <c r="N35" s="24"/>
      <c r="O35" s="24"/>
      <c r="P35" s="24"/>
      <c r="Q35" s="24"/>
      <c r="R35" s="24"/>
      <c r="S35" s="24"/>
      <c r="T35" s="24"/>
      <c r="U35" s="24"/>
    </row>
    <row r="36" spans="1:21" ht="15.75" customHeight="1" x14ac:dyDescent="0.25">
      <c r="A36" s="9"/>
      <c r="B36" s="623"/>
      <c r="C36" s="623"/>
      <c r="D36" s="623"/>
      <c r="E36" s="623"/>
      <c r="F36" s="623"/>
      <c r="G36" s="623"/>
      <c r="H36" s="623"/>
      <c r="I36" s="623"/>
      <c r="J36" s="623"/>
      <c r="K36" s="623"/>
      <c r="L36" s="623"/>
      <c r="M36" s="623"/>
      <c r="N36" s="24"/>
      <c r="O36" s="24"/>
      <c r="P36" s="24"/>
      <c r="Q36" s="24"/>
      <c r="R36" s="24"/>
      <c r="S36" s="24"/>
      <c r="T36" s="24"/>
      <c r="U36" s="24"/>
    </row>
    <row r="37" spans="1:21" ht="15.75" customHeight="1" x14ac:dyDescent="0.25">
      <c r="A37" s="9"/>
      <c r="B37" s="623"/>
      <c r="C37" s="623"/>
      <c r="D37" s="623"/>
      <c r="E37" s="623"/>
      <c r="F37" s="623"/>
      <c r="G37" s="623"/>
      <c r="H37" s="623"/>
      <c r="I37" s="623"/>
      <c r="J37" s="623"/>
      <c r="K37" s="623"/>
      <c r="L37" s="623"/>
      <c r="M37" s="623"/>
      <c r="N37" s="24"/>
      <c r="O37" s="24"/>
      <c r="P37" s="24"/>
      <c r="Q37" s="24"/>
      <c r="R37" s="24"/>
      <c r="S37" s="24"/>
      <c r="T37" s="24"/>
      <c r="U37" s="24"/>
    </row>
    <row r="38" spans="1:21" ht="15.75" customHeight="1" x14ac:dyDescent="0.25">
      <c r="A38" s="253"/>
      <c r="B38" s="623"/>
      <c r="C38" s="623"/>
      <c r="D38" s="623"/>
      <c r="E38" s="623"/>
      <c r="F38" s="623"/>
      <c r="G38" s="623"/>
      <c r="H38" s="623"/>
      <c r="I38" s="623"/>
      <c r="J38" s="623"/>
      <c r="K38" s="623"/>
      <c r="L38" s="623"/>
      <c r="M38" s="623"/>
      <c r="N38" s="24"/>
      <c r="O38" s="24"/>
      <c r="P38" s="24"/>
      <c r="Q38" s="24"/>
      <c r="R38" s="24"/>
      <c r="S38" s="24"/>
      <c r="T38" s="24"/>
      <c r="U38" s="24"/>
    </row>
    <row r="39" spans="1:21" ht="15.75" customHeight="1" x14ac:dyDescent="0.25">
      <c r="A39" s="253"/>
      <c r="B39" s="623"/>
      <c r="C39" s="623"/>
      <c r="D39" s="623"/>
      <c r="E39" s="623"/>
      <c r="F39" s="623"/>
      <c r="G39" s="623"/>
      <c r="H39" s="623"/>
      <c r="I39" s="623"/>
      <c r="J39" s="623"/>
      <c r="K39" s="623"/>
      <c r="L39" s="623"/>
      <c r="M39" s="623"/>
      <c r="N39" s="24"/>
      <c r="O39" s="24"/>
      <c r="P39" s="24"/>
      <c r="Q39" s="24"/>
      <c r="R39" s="24"/>
      <c r="S39" s="24"/>
      <c r="T39" s="24"/>
      <c r="U39" s="24"/>
    </row>
    <row r="40" spans="1:21" ht="15.75" customHeight="1" x14ac:dyDescent="0.25">
      <c r="A40" s="253"/>
      <c r="B40" s="623"/>
      <c r="C40" s="623"/>
      <c r="D40" s="623"/>
      <c r="E40" s="623"/>
      <c r="F40" s="623"/>
      <c r="G40" s="623"/>
      <c r="H40" s="623"/>
      <c r="I40" s="623"/>
      <c r="J40" s="623"/>
      <c r="K40" s="623"/>
      <c r="L40" s="623"/>
      <c r="M40" s="623"/>
      <c r="N40" s="24"/>
      <c r="O40" s="24"/>
      <c r="P40" s="24"/>
      <c r="Q40" s="24"/>
      <c r="R40" s="24"/>
      <c r="S40" s="24"/>
      <c r="T40" s="24"/>
      <c r="U40" s="24"/>
    </row>
    <row r="41" spans="1:21" ht="15.75" customHeight="1" x14ac:dyDescent="0.25">
      <c r="A41" s="253"/>
      <c r="B41" s="623"/>
      <c r="C41" s="623"/>
      <c r="D41" s="623"/>
      <c r="E41" s="623"/>
      <c r="F41" s="623"/>
      <c r="G41" s="623"/>
      <c r="H41" s="623"/>
      <c r="I41" s="623"/>
      <c r="J41" s="623"/>
      <c r="K41" s="623"/>
      <c r="L41" s="623"/>
      <c r="M41" s="623"/>
      <c r="N41" s="24"/>
      <c r="O41" s="24"/>
      <c r="P41" s="24"/>
      <c r="Q41" s="24"/>
      <c r="R41" s="24"/>
      <c r="S41" s="24"/>
      <c r="T41" s="24"/>
      <c r="U41" s="24"/>
    </row>
    <row r="42" spans="1:21" ht="15.75" customHeight="1" x14ac:dyDescent="0.25">
      <c r="A42" s="253"/>
      <c r="B42" s="623"/>
      <c r="C42" s="623"/>
      <c r="D42" s="623"/>
      <c r="E42" s="623"/>
      <c r="F42" s="623"/>
      <c r="G42" s="623"/>
      <c r="H42" s="623"/>
      <c r="I42" s="623"/>
      <c r="J42" s="623"/>
      <c r="K42" s="623"/>
      <c r="L42" s="623"/>
      <c r="M42" s="623"/>
      <c r="N42" s="24"/>
      <c r="O42" s="24"/>
      <c r="P42" s="24"/>
      <c r="Q42" s="24"/>
      <c r="R42" s="24"/>
      <c r="S42" s="24"/>
      <c r="T42" s="24"/>
      <c r="U42" s="24"/>
    </row>
    <row r="43" spans="1:21" ht="15.75" customHeight="1" x14ac:dyDescent="0.25">
      <c r="A43" s="253"/>
      <c r="B43" s="623"/>
      <c r="C43" s="623"/>
      <c r="D43" s="623"/>
      <c r="E43" s="623"/>
      <c r="F43" s="623"/>
      <c r="G43" s="623"/>
      <c r="H43" s="623"/>
      <c r="I43" s="623"/>
      <c r="J43" s="623"/>
      <c r="K43" s="623"/>
      <c r="L43" s="623"/>
      <c r="M43" s="623"/>
      <c r="N43" s="24"/>
      <c r="O43" s="24"/>
      <c r="P43" s="24"/>
      <c r="Q43" s="24"/>
      <c r="R43" s="24"/>
      <c r="S43" s="24"/>
      <c r="T43" s="24"/>
      <c r="U43" s="24"/>
    </row>
    <row r="44" spans="1:21" ht="15.75" customHeight="1" x14ac:dyDescent="0.25">
      <c r="A44" s="253"/>
      <c r="B44" s="623"/>
      <c r="C44" s="623"/>
      <c r="D44" s="623"/>
      <c r="E44" s="623"/>
      <c r="F44" s="623"/>
      <c r="G44" s="623"/>
      <c r="H44" s="623"/>
      <c r="I44" s="623"/>
      <c r="J44" s="623"/>
      <c r="K44" s="623"/>
      <c r="L44" s="623"/>
      <c r="M44" s="623"/>
      <c r="N44" s="24"/>
      <c r="O44" s="24"/>
      <c r="P44" s="24"/>
      <c r="Q44" s="24"/>
      <c r="R44" s="24"/>
      <c r="S44" s="24"/>
      <c r="T44" s="24"/>
      <c r="U44" s="24"/>
    </row>
    <row r="45" spans="1:21" ht="15.75" customHeight="1" x14ac:dyDescent="0.25">
      <c r="A45" s="253"/>
      <c r="B45" s="623"/>
      <c r="C45" s="623"/>
      <c r="D45" s="623"/>
      <c r="E45" s="623"/>
      <c r="F45" s="623"/>
      <c r="G45" s="623"/>
      <c r="H45" s="623"/>
      <c r="I45" s="623"/>
      <c r="J45" s="623"/>
      <c r="K45" s="623"/>
      <c r="L45" s="623"/>
      <c r="M45" s="623"/>
      <c r="N45" s="24"/>
      <c r="O45" s="24"/>
      <c r="P45" s="24"/>
      <c r="Q45" s="24"/>
      <c r="R45" s="24"/>
      <c r="S45" s="24"/>
      <c r="T45" s="24"/>
      <c r="U45" s="24"/>
    </row>
    <row r="46" spans="1:21" ht="15.75" customHeight="1" x14ac:dyDescent="0.25">
      <c r="A46" s="253"/>
      <c r="B46" s="623"/>
      <c r="C46" s="623"/>
      <c r="D46" s="623"/>
      <c r="E46" s="623"/>
      <c r="F46" s="623"/>
      <c r="G46" s="623"/>
      <c r="H46" s="623"/>
      <c r="I46" s="623"/>
      <c r="J46" s="623"/>
      <c r="K46" s="623"/>
      <c r="L46" s="623"/>
      <c r="M46" s="623"/>
      <c r="N46" s="24"/>
      <c r="O46" s="24"/>
      <c r="P46" s="24"/>
      <c r="Q46" s="24"/>
      <c r="R46" s="24"/>
      <c r="S46" s="24"/>
      <c r="T46" s="24"/>
      <c r="U46" s="24"/>
    </row>
    <row r="47" spans="1:21" ht="15.75" customHeight="1" x14ac:dyDescent="0.25">
      <c r="A47" s="253"/>
      <c r="B47" s="623"/>
      <c r="C47" s="623"/>
      <c r="D47" s="623"/>
      <c r="E47" s="623"/>
      <c r="F47" s="623"/>
      <c r="G47" s="623"/>
      <c r="H47" s="623"/>
      <c r="I47" s="623"/>
      <c r="J47" s="623"/>
      <c r="K47" s="623"/>
      <c r="L47" s="623"/>
      <c r="M47" s="623"/>
      <c r="N47" s="24"/>
      <c r="O47" s="24"/>
      <c r="P47" s="24"/>
      <c r="Q47" s="24"/>
      <c r="R47" s="24"/>
      <c r="S47" s="24"/>
      <c r="T47" s="24"/>
      <c r="U47" s="24"/>
    </row>
    <row r="48" spans="1:21" ht="15.75" customHeight="1" x14ac:dyDescent="0.25">
      <c r="A48" s="253"/>
      <c r="B48" s="623"/>
      <c r="C48" s="623"/>
      <c r="D48" s="623"/>
      <c r="E48" s="623"/>
      <c r="F48" s="623"/>
      <c r="G48" s="623"/>
      <c r="H48" s="623"/>
      <c r="I48" s="623"/>
      <c r="J48" s="623"/>
      <c r="K48" s="623"/>
      <c r="L48" s="623"/>
      <c r="M48" s="623"/>
      <c r="N48" s="24"/>
      <c r="O48" s="24"/>
      <c r="P48" s="24"/>
      <c r="Q48" s="24"/>
      <c r="R48" s="24"/>
      <c r="S48" s="24"/>
      <c r="T48" s="24"/>
      <c r="U48" s="24"/>
    </row>
    <row r="49" spans="1:21" ht="15.75" customHeight="1" x14ac:dyDescent="0.25">
      <c r="A49" s="253"/>
      <c r="B49" s="623"/>
      <c r="C49" s="623"/>
      <c r="D49" s="623"/>
      <c r="E49" s="623"/>
      <c r="F49" s="623"/>
      <c r="G49" s="623"/>
      <c r="H49" s="623"/>
      <c r="I49" s="623"/>
      <c r="J49" s="623"/>
      <c r="K49" s="623"/>
      <c r="L49" s="623"/>
      <c r="M49" s="623"/>
      <c r="N49" s="24"/>
      <c r="O49" s="24"/>
      <c r="P49" s="24"/>
      <c r="Q49" s="24"/>
      <c r="R49" s="24"/>
      <c r="S49" s="24"/>
      <c r="T49" s="24"/>
      <c r="U49" s="24"/>
    </row>
    <row r="50" spans="1:21" ht="15.75" customHeight="1" x14ac:dyDescent="0.25">
      <c r="A50" s="253"/>
      <c r="B50" s="623"/>
      <c r="C50" s="623"/>
      <c r="D50" s="623"/>
      <c r="E50" s="623"/>
      <c r="F50" s="623"/>
      <c r="G50" s="623"/>
      <c r="H50" s="623"/>
      <c r="I50" s="623"/>
      <c r="J50" s="623"/>
      <c r="K50" s="623"/>
      <c r="L50" s="623"/>
      <c r="M50" s="623"/>
      <c r="N50" s="24"/>
      <c r="O50" s="24"/>
      <c r="P50" s="24"/>
      <c r="Q50" s="24"/>
      <c r="R50" s="24"/>
      <c r="S50" s="24"/>
      <c r="T50" s="24"/>
      <c r="U50" s="24"/>
    </row>
    <row r="51" spans="1:21" ht="15.75" customHeight="1" x14ac:dyDescent="0.25">
      <c r="A51" s="253"/>
      <c r="B51" s="623"/>
      <c r="C51" s="623"/>
      <c r="D51" s="623"/>
      <c r="E51" s="623"/>
      <c r="F51" s="623"/>
      <c r="G51" s="623"/>
      <c r="H51" s="623"/>
      <c r="I51" s="623"/>
      <c r="J51" s="623"/>
      <c r="K51" s="623"/>
      <c r="L51" s="623"/>
      <c r="M51" s="623"/>
      <c r="N51" s="24"/>
      <c r="O51" s="24"/>
      <c r="P51" s="24"/>
      <c r="Q51" s="24"/>
      <c r="R51" s="24"/>
      <c r="S51" s="24"/>
      <c r="T51" s="24"/>
      <c r="U51" s="24"/>
    </row>
    <row r="52" spans="1:21" ht="15.75" customHeight="1" x14ac:dyDescent="0.25">
      <c r="A52" s="253"/>
      <c r="B52" s="623"/>
      <c r="C52" s="623"/>
      <c r="D52" s="623"/>
      <c r="E52" s="623"/>
      <c r="F52" s="623"/>
      <c r="G52" s="623"/>
      <c r="H52" s="623"/>
      <c r="I52" s="623"/>
      <c r="J52" s="623"/>
      <c r="K52" s="623"/>
      <c r="L52" s="623"/>
      <c r="M52" s="623"/>
      <c r="N52" s="24"/>
      <c r="O52" s="24"/>
      <c r="P52" s="24"/>
      <c r="Q52" s="24"/>
      <c r="R52" s="24"/>
      <c r="S52" s="24"/>
      <c r="T52" s="24"/>
      <c r="U52" s="24"/>
    </row>
    <row r="53" spans="1:21" ht="15.75" customHeight="1" x14ac:dyDescent="0.25">
      <c r="A53" s="253"/>
      <c r="B53" s="623"/>
      <c r="C53" s="623"/>
      <c r="D53" s="623"/>
      <c r="E53" s="623"/>
      <c r="F53" s="623"/>
      <c r="G53" s="623"/>
      <c r="H53" s="623"/>
      <c r="I53" s="623"/>
      <c r="J53" s="623"/>
      <c r="K53" s="623"/>
      <c r="L53" s="623"/>
      <c r="M53" s="623"/>
      <c r="N53" s="24"/>
      <c r="O53" s="24"/>
      <c r="P53" s="24"/>
      <c r="Q53" s="24"/>
      <c r="R53" s="24"/>
      <c r="S53" s="24"/>
      <c r="T53" s="24"/>
      <c r="U53" s="24"/>
    </row>
    <row r="54" spans="1:21" ht="15.75" customHeight="1" x14ac:dyDescent="0.25">
      <c r="A54" s="253"/>
      <c r="B54" s="623"/>
      <c r="C54" s="623"/>
      <c r="D54" s="623"/>
      <c r="E54" s="623"/>
      <c r="F54" s="623"/>
      <c r="G54" s="623"/>
      <c r="H54" s="623"/>
      <c r="I54" s="623"/>
      <c r="J54" s="623"/>
      <c r="K54" s="623"/>
      <c r="L54" s="623"/>
      <c r="M54" s="623"/>
      <c r="N54" s="24"/>
      <c r="O54" s="24"/>
      <c r="P54" s="24"/>
      <c r="Q54" s="24"/>
      <c r="R54" s="24"/>
      <c r="S54" s="24"/>
      <c r="T54" s="24"/>
      <c r="U54" s="24"/>
    </row>
    <row r="55" spans="1:21" ht="15.75" customHeight="1" x14ac:dyDescent="0.25">
      <c r="A55" s="253"/>
      <c r="B55" s="623"/>
      <c r="C55" s="623"/>
      <c r="D55" s="623"/>
      <c r="E55" s="623"/>
      <c r="F55" s="623"/>
      <c r="G55" s="623"/>
      <c r="H55" s="623"/>
      <c r="I55" s="623"/>
      <c r="J55" s="623"/>
      <c r="K55" s="623"/>
      <c r="L55" s="623"/>
      <c r="M55" s="623"/>
      <c r="N55" s="24"/>
      <c r="O55" s="24"/>
      <c r="P55" s="24"/>
      <c r="Q55" s="24"/>
      <c r="R55" s="24"/>
      <c r="S55" s="24"/>
      <c r="T55" s="24"/>
      <c r="U55" s="24"/>
    </row>
    <row r="56" spans="1:21" ht="15.75" customHeight="1" x14ac:dyDescent="0.25">
      <c r="A56" s="253"/>
      <c r="B56" s="623"/>
      <c r="C56" s="623"/>
      <c r="D56" s="623"/>
      <c r="E56" s="623"/>
      <c r="F56" s="623"/>
      <c r="G56" s="623"/>
      <c r="H56" s="623"/>
      <c r="I56" s="623"/>
      <c r="J56" s="623"/>
      <c r="K56" s="623"/>
      <c r="L56" s="623"/>
      <c r="M56" s="623"/>
      <c r="N56" s="24"/>
      <c r="O56" s="24"/>
      <c r="P56" s="24"/>
      <c r="Q56" s="24"/>
      <c r="R56" s="24"/>
      <c r="S56" s="24"/>
      <c r="T56" s="24"/>
      <c r="U56" s="24"/>
    </row>
    <row r="57" spans="1:21" ht="15.75" customHeight="1" x14ac:dyDescent="0.25">
      <c r="A57" s="253"/>
      <c r="B57" s="623"/>
      <c r="C57" s="623"/>
      <c r="D57" s="623"/>
      <c r="E57" s="623"/>
      <c r="F57" s="623"/>
      <c r="G57" s="623"/>
      <c r="H57" s="623"/>
      <c r="I57" s="623"/>
      <c r="J57" s="623"/>
      <c r="K57" s="623"/>
      <c r="L57" s="623"/>
      <c r="M57" s="623"/>
      <c r="N57" s="24"/>
      <c r="O57" s="24"/>
      <c r="P57" s="24"/>
      <c r="Q57" s="24"/>
      <c r="R57" s="24"/>
      <c r="S57" s="24"/>
      <c r="T57" s="24"/>
      <c r="U57" s="24"/>
    </row>
    <row r="58" spans="1:21" ht="15.75" customHeight="1" x14ac:dyDescent="0.25">
      <c r="A58" s="253"/>
      <c r="B58" s="623"/>
      <c r="C58" s="623"/>
      <c r="D58" s="623"/>
      <c r="E58" s="623"/>
      <c r="F58" s="623"/>
      <c r="G58" s="623"/>
      <c r="H58" s="623"/>
      <c r="I58" s="623"/>
      <c r="J58" s="623"/>
      <c r="K58" s="623"/>
      <c r="L58" s="623"/>
      <c r="M58" s="623"/>
      <c r="N58" s="24"/>
      <c r="O58" s="24"/>
      <c r="P58" s="24"/>
      <c r="Q58" s="24"/>
      <c r="R58" s="24"/>
      <c r="S58" s="24"/>
      <c r="T58" s="24"/>
      <c r="U58" s="24"/>
    </row>
    <row r="59" spans="1:21" ht="15.75" customHeight="1" x14ac:dyDescent="0.25">
      <c r="A59" s="253"/>
      <c r="B59" s="623"/>
      <c r="C59" s="623"/>
      <c r="D59" s="623"/>
      <c r="E59" s="623"/>
      <c r="F59" s="623"/>
      <c r="G59" s="623"/>
      <c r="H59" s="623"/>
      <c r="I59" s="623"/>
      <c r="J59" s="623"/>
      <c r="K59" s="623"/>
      <c r="L59" s="623"/>
      <c r="M59" s="623"/>
      <c r="N59" s="24"/>
      <c r="O59" s="24"/>
      <c r="P59" s="24"/>
      <c r="Q59" s="24"/>
      <c r="R59" s="24"/>
      <c r="S59" s="24"/>
      <c r="T59" s="24"/>
      <c r="U59" s="24"/>
    </row>
    <row r="60" spans="1:21" ht="15.75" customHeight="1" x14ac:dyDescent="0.25">
      <c r="A60" s="253"/>
      <c r="B60" s="623"/>
      <c r="C60" s="623"/>
      <c r="D60" s="623"/>
      <c r="E60" s="623"/>
      <c r="F60" s="623"/>
      <c r="G60" s="623"/>
      <c r="H60" s="623"/>
      <c r="I60" s="623"/>
      <c r="J60" s="623"/>
      <c r="K60" s="623"/>
      <c r="L60" s="623"/>
      <c r="M60" s="623"/>
      <c r="N60" s="24"/>
      <c r="O60" s="24"/>
      <c r="P60" s="24"/>
      <c r="Q60" s="24"/>
      <c r="R60" s="24"/>
      <c r="S60" s="24"/>
      <c r="T60" s="24"/>
      <c r="U60" s="24"/>
    </row>
    <row r="61" spans="1:21" ht="15.75" customHeight="1" x14ac:dyDescent="0.25">
      <c r="A61" s="253"/>
      <c r="B61" s="623"/>
      <c r="C61" s="623"/>
      <c r="D61" s="623"/>
      <c r="E61" s="623"/>
      <c r="F61" s="623"/>
      <c r="G61" s="623"/>
      <c r="H61" s="623"/>
      <c r="I61" s="623"/>
      <c r="J61" s="623"/>
      <c r="K61" s="623"/>
      <c r="L61" s="623"/>
      <c r="M61" s="623"/>
      <c r="N61" s="24"/>
      <c r="O61" s="24"/>
      <c r="P61" s="24"/>
      <c r="Q61" s="24"/>
      <c r="R61" s="24"/>
      <c r="S61" s="24"/>
      <c r="T61" s="24"/>
      <c r="U61" s="24"/>
    </row>
    <row r="62" spans="1:21" ht="15.75" customHeight="1" x14ac:dyDescent="0.25">
      <c r="A62" s="253"/>
      <c r="B62" s="623"/>
      <c r="C62" s="623"/>
      <c r="D62" s="623"/>
      <c r="E62" s="623"/>
      <c r="F62" s="623"/>
      <c r="G62" s="623"/>
      <c r="H62" s="623"/>
      <c r="I62" s="623"/>
      <c r="J62" s="623"/>
      <c r="K62" s="623"/>
      <c r="L62" s="623"/>
      <c r="M62" s="623"/>
      <c r="N62" s="24"/>
      <c r="O62" s="24"/>
      <c r="P62" s="24"/>
      <c r="Q62" s="24"/>
      <c r="R62" s="24"/>
      <c r="S62" s="24"/>
      <c r="T62" s="24"/>
      <c r="U62" s="24"/>
    </row>
    <row r="63" spans="1:21" ht="15.75" customHeight="1" x14ac:dyDescent="0.25">
      <c r="A63" s="253"/>
      <c r="B63" s="623"/>
      <c r="C63" s="623"/>
      <c r="D63" s="623"/>
      <c r="E63" s="623"/>
      <c r="F63" s="623"/>
      <c r="G63" s="623"/>
      <c r="H63" s="623"/>
      <c r="I63" s="623"/>
      <c r="J63" s="623"/>
      <c r="K63" s="623"/>
      <c r="L63" s="623"/>
      <c r="M63" s="623"/>
      <c r="N63" s="24"/>
      <c r="O63" s="24"/>
      <c r="P63" s="24"/>
      <c r="Q63" s="24"/>
      <c r="R63" s="24"/>
      <c r="S63" s="24"/>
      <c r="T63" s="24"/>
      <c r="U63" s="24"/>
    </row>
    <row r="64" spans="1:21" ht="15.75" customHeight="1" x14ac:dyDescent="0.25">
      <c r="A64" s="253"/>
      <c r="B64" s="623"/>
      <c r="C64" s="623"/>
      <c r="D64" s="623"/>
      <c r="E64" s="623"/>
      <c r="F64" s="623"/>
      <c r="G64" s="623"/>
      <c r="H64" s="623"/>
      <c r="I64" s="623"/>
      <c r="J64" s="623"/>
      <c r="K64" s="623"/>
      <c r="L64" s="623"/>
      <c r="M64" s="623"/>
      <c r="N64" s="24"/>
      <c r="O64" s="24"/>
      <c r="P64" s="24"/>
      <c r="Q64" s="24"/>
      <c r="R64" s="24"/>
      <c r="S64" s="24"/>
      <c r="T64" s="24"/>
      <c r="U64" s="24"/>
    </row>
    <row r="65" spans="1:21" ht="15.75" customHeight="1" x14ac:dyDescent="0.25">
      <c r="A65" s="253"/>
      <c r="B65" s="623"/>
      <c r="C65" s="623"/>
      <c r="D65" s="623"/>
      <c r="E65" s="623"/>
      <c r="F65" s="623"/>
      <c r="G65" s="623"/>
      <c r="H65" s="623"/>
      <c r="I65" s="623"/>
      <c r="J65" s="623"/>
      <c r="K65" s="623"/>
      <c r="L65" s="623"/>
      <c r="M65" s="623"/>
      <c r="N65" s="24"/>
      <c r="O65" s="24"/>
      <c r="P65" s="24"/>
      <c r="Q65" s="24"/>
      <c r="R65" s="24"/>
      <c r="S65" s="24"/>
      <c r="T65" s="24"/>
      <c r="U65" s="24"/>
    </row>
    <row r="66" spans="1:21" ht="15.75" customHeight="1" x14ac:dyDescent="0.25">
      <c r="A66" s="253"/>
      <c r="B66" s="623"/>
      <c r="C66" s="623"/>
      <c r="D66" s="623"/>
      <c r="E66" s="623"/>
      <c r="F66" s="623"/>
      <c r="G66" s="623"/>
      <c r="H66" s="623"/>
      <c r="I66" s="623"/>
      <c r="J66" s="623"/>
      <c r="K66" s="623"/>
      <c r="L66" s="623"/>
      <c r="M66" s="623"/>
      <c r="N66" s="24"/>
      <c r="O66" s="24"/>
      <c r="P66" s="24"/>
      <c r="Q66" s="24"/>
      <c r="R66" s="24"/>
      <c r="S66" s="24"/>
      <c r="T66" s="24"/>
      <c r="U66" s="24"/>
    </row>
    <row r="67" spans="1:21" ht="15.75" customHeight="1" x14ac:dyDescent="0.25">
      <c r="A67" s="253"/>
      <c r="B67" s="623"/>
      <c r="C67" s="623"/>
      <c r="D67" s="623"/>
      <c r="E67" s="623"/>
      <c r="F67" s="623"/>
      <c r="G67" s="623"/>
      <c r="H67" s="623"/>
      <c r="I67" s="623"/>
      <c r="J67" s="623"/>
      <c r="K67" s="623"/>
      <c r="L67" s="623"/>
      <c r="M67" s="623"/>
      <c r="N67" s="24"/>
      <c r="O67" s="24"/>
      <c r="P67" s="24"/>
      <c r="Q67" s="24"/>
      <c r="R67" s="24"/>
      <c r="S67" s="24"/>
      <c r="T67" s="24"/>
      <c r="U67" s="24"/>
    </row>
    <row r="68" spans="1:21" ht="15.75" customHeight="1" x14ac:dyDescent="0.25">
      <c r="A68" s="253"/>
      <c r="B68" s="623"/>
      <c r="C68" s="623"/>
      <c r="D68" s="623"/>
      <c r="E68" s="623"/>
      <c r="F68" s="623"/>
      <c r="G68" s="623"/>
      <c r="H68" s="623"/>
      <c r="I68" s="623"/>
      <c r="J68" s="623"/>
      <c r="K68" s="623"/>
      <c r="L68" s="623"/>
      <c r="M68" s="623"/>
      <c r="N68" s="24"/>
      <c r="O68" s="24"/>
      <c r="P68" s="24"/>
      <c r="Q68" s="24"/>
      <c r="R68" s="24"/>
      <c r="S68" s="24"/>
      <c r="T68" s="24"/>
      <c r="U68" s="24"/>
    </row>
    <row r="69" spans="1:21" ht="15.75" customHeight="1" x14ac:dyDescent="0.25">
      <c r="A69" s="253"/>
      <c r="B69" s="623"/>
      <c r="C69" s="623"/>
      <c r="D69" s="623"/>
      <c r="E69" s="623"/>
      <c r="F69" s="623"/>
      <c r="G69" s="623"/>
      <c r="H69" s="623"/>
      <c r="I69" s="623"/>
      <c r="J69" s="623"/>
      <c r="K69" s="623"/>
      <c r="L69" s="623"/>
      <c r="M69" s="623"/>
      <c r="N69" s="24"/>
      <c r="O69" s="24"/>
      <c r="P69" s="24"/>
      <c r="Q69" s="24"/>
      <c r="R69" s="24"/>
      <c r="S69" s="24"/>
      <c r="T69" s="24"/>
      <c r="U69" s="24"/>
    </row>
    <row r="70" spans="1:21" ht="15.75" customHeight="1" x14ac:dyDescent="0.25">
      <c r="A70" s="253"/>
      <c r="B70" s="623"/>
      <c r="C70" s="623"/>
      <c r="D70" s="623"/>
      <c r="E70" s="623"/>
      <c r="F70" s="623"/>
      <c r="G70" s="623"/>
      <c r="H70" s="623"/>
      <c r="I70" s="623"/>
      <c r="J70" s="623"/>
      <c r="K70" s="623"/>
      <c r="L70" s="623"/>
      <c r="M70" s="623"/>
      <c r="N70" s="24"/>
      <c r="O70" s="24"/>
      <c r="P70" s="24"/>
      <c r="Q70" s="24"/>
      <c r="R70" s="24"/>
      <c r="S70" s="24"/>
      <c r="T70" s="24"/>
      <c r="U70" s="24"/>
    </row>
    <row r="71" spans="1:21" ht="15.75" customHeight="1" x14ac:dyDescent="0.25">
      <c r="A71" s="253"/>
      <c r="B71" s="623"/>
      <c r="C71" s="623"/>
      <c r="D71" s="623"/>
      <c r="E71" s="623"/>
      <c r="F71" s="623"/>
      <c r="G71" s="623"/>
      <c r="H71" s="623"/>
      <c r="I71" s="623"/>
      <c r="J71" s="623"/>
      <c r="K71" s="623"/>
      <c r="L71" s="623"/>
      <c r="M71" s="623"/>
      <c r="N71" s="24"/>
      <c r="O71" s="24"/>
      <c r="P71" s="24"/>
      <c r="Q71" s="24"/>
      <c r="R71" s="24"/>
      <c r="S71" s="24"/>
      <c r="T71" s="24"/>
      <c r="U71" s="24"/>
    </row>
    <row r="72" spans="1:21" ht="15.75" customHeight="1" x14ac:dyDescent="0.25">
      <c r="A72" s="253"/>
      <c r="B72" s="623"/>
      <c r="C72" s="623"/>
      <c r="D72" s="623"/>
      <c r="E72" s="623"/>
      <c r="F72" s="623"/>
      <c r="G72" s="623"/>
      <c r="H72" s="623"/>
      <c r="I72" s="623"/>
      <c r="J72" s="623"/>
      <c r="K72" s="623"/>
      <c r="L72" s="623"/>
      <c r="M72" s="623"/>
      <c r="N72" s="24"/>
      <c r="O72" s="24"/>
      <c r="P72" s="24"/>
      <c r="Q72" s="24"/>
      <c r="R72" s="24"/>
      <c r="S72" s="24"/>
      <c r="T72" s="24"/>
      <c r="U72" s="24"/>
    </row>
    <row r="73" spans="1:21" ht="15.75" customHeight="1" x14ac:dyDescent="0.25">
      <c r="A73" s="253"/>
      <c r="B73" s="623"/>
      <c r="C73" s="623"/>
      <c r="D73" s="623"/>
      <c r="E73" s="623"/>
      <c r="F73" s="623"/>
      <c r="G73" s="623"/>
      <c r="H73" s="623"/>
      <c r="I73" s="623"/>
      <c r="J73" s="623"/>
      <c r="K73" s="623"/>
      <c r="L73" s="623"/>
      <c r="M73" s="623"/>
      <c r="N73" s="24"/>
      <c r="O73" s="24"/>
      <c r="P73" s="24"/>
      <c r="Q73" s="24"/>
      <c r="R73" s="24"/>
      <c r="S73" s="24"/>
      <c r="T73" s="24"/>
      <c r="U73" s="24"/>
    </row>
    <row r="74" spans="1:21" ht="15.75" customHeight="1" x14ac:dyDescent="0.25">
      <c r="A74" s="253"/>
      <c r="B74" s="623"/>
      <c r="C74" s="623"/>
      <c r="D74" s="623"/>
      <c r="E74" s="623"/>
      <c r="F74" s="623"/>
      <c r="G74" s="623"/>
      <c r="H74" s="623"/>
      <c r="I74" s="623"/>
      <c r="J74" s="623"/>
      <c r="K74" s="623"/>
      <c r="L74" s="623"/>
      <c r="M74" s="623"/>
      <c r="N74" s="24"/>
      <c r="O74" s="24"/>
      <c r="P74" s="24"/>
      <c r="Q74" s="24"/>
      <c r="R74" s="24"/>
      <c r="S74" s="24"/>
      <c r="T74" s="24"/>
      <c r="U74" s="24"/>
    </row>
    <row r="75" spans="1:21" ht="15.75" customHeight="1" x14ac:dyDescent="0.25">
      <c r="A75" s="253"/>
      <c r="B75" s="623"/>
      <c r="C75" s="623"/>
      <c r="D75" s="623"/>
      <c r="E75" s="623"/>
      <c r="F75" s="623"/>
      <c r="G75" s="623"/>
      <c r="H75" s="623"/>
      <c r="I75" s="623"/>
      <c r="J75" s="623"/>
      <c r="K75" s="623"/>
      <c r="L75" s="623"/>
      <c r="M75" s="623"/>
      <c r="N75" s="24"/>
      <c r="O75" s="24"/>
      <c r="P75" s="24"/>
      <c r="Q75" s="24"/>
      <c r="R75" s="24"/>
      <c r="S75" s="24"/>
      <c r="T75" s="24"/>
      <c r="U75" s="24"/>
    </row>
    <row r="76" spans="1:21" ht="15.75" customHeight="1" x14ac:dyDescent="0.25">
      <c r="A76" s="253"/>
      <c r="B76" s="623"/>
      <c r="C76" s="623"/>
      <c r="D76" s="623"/>
      <c r="E76" s="623"/>
      <c r="F76" s="623"/>
      <c r="G76" s="623"/>
      <c r="H76" s="623"/>
      <c r="I76" s="623"/>
      <c r="J76" s="623"/>
      <c r="K76" s="623"/>
      <c r="L76" s="623"/>
      <c r="M76" s="623"/>
      <c r="N76" s="24"/>
      <c r="O76" s="24"/>
      <c r="P76" s="24"/>
      <c r="Q76" s="24"/>
      <c r="R76" s="24"/>
      <c r="S76" s="24"/>
      <c r="T76" s="24"/>
      <c r="U76" s="24"/>
    </row>
    <row r="77" spans="1:21" ht="15.75" customHeight="1" x14ac:dyDescent="0.25">
      <c r="A77" s="253"/>
      <c r="B77" s="623"/>
      <c r="C77" s="623"/>
      <c r="D77" s="623"/>
      <c r="E77" s="623"/>
      <c r="F77" s="623"/>
      <c r="G77" s="623"/>
      <c r="H77" s="623"/>
      <c r="I77" s="623"/>
      <c r="J77" s="623"/>
      <c r="K77" s="623"/>
      <c r="L77" s="623"/>
      <c r="M77" s="623"/>
      <c r="N77" s="24"/>
      <c r="O77" s="24"/>
      <c r="P77" s="24"/>
      <c r="Q77" s="24"/>
      <c r="R77" s="24"/>
      <c r="S77" s="24"/>
      <c r="T77" s="24"/>
      <c r="U77" s="24"/>
    </row>
    <row r="78" spans="1:21" ht="15.75" customHeight="1" x14ac:dyDescent="0.25">
      <c r="A78" s="253"/>
      <c r="B78" s="623"/>
      <c r="C78" s="623"/>
      <c r="D78" s="623"/>
      <c r="E78" s="623"/>
      <c r="F78" s="623"/>
      <c r="G78" s="623"/>
      <c r="H78" s="623"/>
      <c r="I78" s="623"/>
      <c r="J78" s="623"/>
      <c r="K78" s="623"/>
      <c r="L78" s="623"/>
      <c r="M78" s="623"/>
      <c r="N78" s="24"/>
      <c r="O78" s="24"/>
      <c r="P78" s="24"/>
      <c r="Q78" s="24"/>
      <c r="R78" s="24"/>
      <c r="S78" s="24"/>
      <c r="T78" s="24"/>
      <c r="U78" s="24"/>
    </row>
  </sheetData>
  <mergeCells count="4">
    <mergeCell ref="B1:M1"/>
    <mergeCell ref="B34:E34"/>
    <mergeCell ref="B35:M78"/>
    <mergeCell ref="P6:U1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0.125" customWidth="1"/>
    <col min="2" max="3" width="10.75" customWidth="1"/>
    <col min="4" max="4" width="9.75" customWidth="1"/>
    <col min="5" max="5" width="11.625" customWidth="1"/>
    <col min="6" max="6" width="14.125" customWidth="1"/>
    <col min="7" max="7" width="18.375" customWidth="1"/>
    <col min="8" max="8" width="11.75" customWidth="1"/>
    <col min="9" max="23" width="10.75" customWidth="1"/>
  </cols>
  <sheetData>
    <row r="1" spans="1:23" ht="18" customHeight="1" x14ac:dyDescent="0.25">
      <c r="A1" s="60"/>
      <c r="B1" s="640" t="s">
        <v>79</v>
      </c>
      <c r="C1" s="623"/>
      <c r="D1" s="623"/>
      <c r="E1" s="623"/>
      <c r="F1" s="623"/>
      <c r="G1" s="623"/>
      <c r="H1" s="623"/>
      <c r="I1" s="623"/>
      <c r="J1" s="623"/>
      <c r="K1" s="623"/>
      <c r="L1" s="623"/>
      <c r="M1" s="623"/>
      <c r="N1" s="79"/>
      <c r="O1" s="79"/>
      <c r="P1" s="79"/>
      <c r="Q1" s="79"/>
      <c r="R1" s="79"/>
      <c r="S1" s="79"/>
      <c r="T1" s="79"/>
      <c r="U1" s="79"/>
      <c r="V1" s="79"/>
      <c r="W1" s="79"/>
    </row>
    <row r="2" spans="1:23" ht="15.75" customHeight="1" x14ac:dyDescent="0.25">
      <c r="A2" s="180"/>
      <c r="B2" s="4">
        <v>1984</v>
      </c>
      <c r="C2" s="4">
        <v>1988</v>
      </c>
      <c r="D2" s="4">
        <v>1992</v>
      </c>
      <c r="E2" s="4">
        <v>1996</v>
      </c>
      <c r="F2" s="4">
        <v>2000</v>
      </c>
      <c r="G2" s="4">
        <v>2004</v>
      </c>
      <c r="H2" s="4">
        <v>2008</v>
      </c>
      <c r="I2" s="4">
        <v>2010</v>
      </c>
      <c r="J2" s="4">
        <v>2011</v>
      </c>
      <c r="K2" s="4">
        <v>2012</v>
      </c>
      <c r="L2" s="4">
        <v>2013</v>
      </c>
      <c r="M2" s="4">
        <v>2014</v>
      </c>
      <c r="N2" s="12"/>
      <c r="O2" s="12"/>
      <c r="P2" s="12"/>
      <c r="Q2" s="12"/>
      <c r="R2" s="12"/>
      <c r="S2" s="12"/>
      <c r="T2" s="12"/>
      <c r="U2" s="12"/>
      <c r="V2" s="12"/>
      <c r="W2" s="12"/>
    </row>
    <row r="3" spans="1:23" ht="15.75" customHeight="1" x14ac:dyDescent="0.25">
      <c r="A3" s="182" t="s">
        <v>32</v>
      </c>
      <c r="B3" s="11"/>
      <c r="C3" s="11"/>
      <c r="D3" s="11"/>
      <c r="E3" s="11"/>
      <c r="F3" s="11"/>
      <c r="G3" s="11"/>
      <c r="H3" s="11"/>
      <c r="I3" s="11"/>
      <c r="J3" s="11">
        <f>('Radio (RV)'!J3)/('Radio (RV)'!J30)*100</f>
        <v>7.9235312587010736</v>
      </c>
      <c r="K3" s="11">
        <f>('Radio (RV)'!K3)/('Radio (RV)'!K30)*100</f>
        <v>7.7901226002755273</v>
      </c>
      <c r="L3" s="11">
        <f>('Radio (RV)'!L3)/('Radio (RV)'!L30)*100</f>
        <v>21.147868477968842</v>
      </c>
      <c r="M3" s="11">
        <f>('Radio (RV)'!M3)/('Radio (RV)'!M30)*100</f>
        <v>21.763809323592788</v>
      </c>
      <c r="N3" s="42"/>
      <c r="O3" s="42"/>
      <c r="P3" s="42"/>
      <c r="Q3" s="42"/>
      <c r="R3" s="42"/>
      <c r="S3" s="42"/>
      <c r="T3" s="42"/>
      <c r="U3" s="42"/>
      <c r="V3" s="42"/>
      <c r="W3" s="42"/>
    </row>
    <row r="4" spans="1:23" ht="15.75" customHeight="1" x14ac:dyDescent="0.25">
      <c r="A4" s="9" t="s">
        <v>259</v>
      </c>
      <c r="B4" s="11"/>
      <c r="C4" s="11"/>
      <c r="D4" s="11"/>
      <c r="E4" s="11"/>
      <c r="F4" s="11">
        <f>('Radio (RV)'!F4)/('Radio (RV)'!F30)*100</f>
        <v>3.0654933641084825</v>
      </c>
      <c r="G4" s="11">
        <f>('Radio (RV)'!G4)/('Radio (RV)'!G30)*100</f>
        <v>7.5424356760997648</v>
      </c>
      <c r="H4" s="11">
        <f>('Radio (RV)'!H4)/('Radio (RV)'!H30)*100</f>
        <v>14.78019098992246</v>
      </c>
      <c r="I4" s="11">
        <f>('Radio (RV)'!I4)/('Radio (RV)'!I30)*100</f>
        <v>16.363777824069313</v>
      </c>
      <c r="J4" s="11">
        <f>('Radio (RV)'!J4)/('Radio (RV)'!J30)*100</f>
        <v>16.799860980286454</v>
      </c>
      <c r="K4" s="11">
        <f>('Radio (RV)'!K4)/('Radio (RV)'!K30)*100</f>
        <v>16.353310802105117</v>
      </c>
      <c r="L4" s="11" t="s">
        <v>1</v>
      </c>
      <c r="M4" s="11"/>
      <c r="N4" s="24"/>
      <c r="O4" s="24"/>
      <c r="P4" s="24"/>
      <c r="Q4" s="24"/>
      <c r="R4" s="24"/>
      <c r="S4" s="24"/>
      <c r="T4" s="24"/>
      <c r="U4" s="24"/>
      <c r="V4" s="24"/>
      <c r="W4" s="24"/>
    </row>
    <row r="5" spans="1:23" ht="15.75" customHeight="1" x14ac:dyDescent="0.25">
      <c r="A5" s="9" t="s">
        <v>261</v>
      </c>
      <c r="B5" s="11">
        <f>('Radio (RV)'!B5)/('Radio (RV)'!B30)*100</f>
        <v>9.8655814527068681</v>
      </c>
      <c r="C5" s="11">
        <f>('Radio (RV)'!C5)/('Radio (RV)'!C30)*100</f>
        <v>8.2032238669797231</v>
      </c>
      <c r="D5" s="11">
        <f>('Radio (RV)'!D5)/('Radio (RV)'!D30)*100</f>
        <v>8.0914020184194992</v>
      </c>
      <c r="E5" s="11">
        <f>('Radio (RV)'!E5)/('Radio (RV)'!E30)*100</f>
        <v>8.0251418048016188</v>
      </c>
      <c r="F5" s="11">
        <f>('Radio (RV)'!F5)/('Radio (RV)'!F30)*100</f>
        <v>6.8297388920946345</v>
      </c>
      <c r="G5" s="11">
        <f>('Radio (RV)'!G5)/('Radio (RV)'!G30)*100</f>
        <v>10.290307970156212</v>
      </c>
      <c r="H5" s="11" t="s">
        <v>262</v>
      </c>
      <c r="I5" s="11"/>
      <c r="J5" s="11"/>
      <c r="K5" s="11"/>
      <c r="L5" s="11"/>
      <c r="M5" s="11"/>
      <c r="N5" s="24"/>
      <c r="O5" s="24"/>
      <c r="P5" s="24"/>
      <c r="Q5" s="24"/>
      <c r="R5" s="24"/>
      <c r="S5" s="24"/>
      <c r="T5" s="24"/>
      <c r="U5" s="24"/>
      <c r="V5" s="24"/>
      <c r="W5" s="24"/>
    </row>
    <row r="6" spans="1:23" ht="15.75" customHeight="1" x14ac:dyDescent="0.25">
      <c r="A6" s="9" t="s">
        <v>263</v>
      </c>
      <c r="B6" s="47">
        <f>('Radio (RV)'!B6)/('Radio (RV)'!B30)*100</f>
        <v>2.8116907140214571</v>
      </c>
      <c r="C6" s="47">
        <f>('Radio (RV)'!C6)/('Radio (RV)'!C30)*100</f>
        <v>3.2512777521565979</v>
      </c>
      <c r="D6" s="47">
        <f>('Radio (RV)'!D6)/('Radio (RV)'!D30)*100</f>
        <v>4.4599037315812238</v>
      </c>
      <c r="E6" s="47">
        <f>('Radio (RV)'!E6)/('Radio (RV)'!E30)*100</f>
        <v>6.0143069534851126</v>
      </c>
      <c r="F6" s="47">
        <f>('Radio (RV)'!F6)/('Radio (RV)'!F30)*100</f>
        <v>9.4143705520292364</v>
      </c>
      <c r="G6" s="11" t="s">
        <v>361</v>
      </c>
      <c r="H6" s="11"/>
      <c r="I6" s="11"/>
      <c r="J6" s="11"/>
      <c r="K6" s="11"/>
      <c r="L6" s="11"/>
      <c r="M6" s="11"/>
      <c r="N6" s="24"/>
      <c r="O6" s="24"/>
      <c r="P6" s="24"/>
      <c r="Q6" s="24"/>
      <c r="R6" s="24"/>
      <c r="S6" s="24"/>
      <c r="T6" s="24"/>
      <c r="U6" s="24"/>
      <c r="V6" s="24"/>
      <c r="W6" s="24"/>
    </row>
    <row r="7" spans="1:23" ht="15.75" customHeight="1" x14ac:dyDescent="0.25">
      <c r="A7" s="9" t="s">
        <v>265</v>
      </c>
      <c r="B7" s="47">
        <f>('Radio (RV)'!B7)/('Radio (RV)'!B30)*100</f>
        <v>8.7279131689880302E-2</v>
      </c>
      <c r="C7" s="47">
        <f>('Radio (RV)'!C7)/('Radio (RV)'!C30)*100</f>
        <v>9.9123462563040804E-2</v>
      </c>
      <c r="D7" s="47">
        <f>('Radio (RV)'!D7)/('Radio (RV)'!D30)*100</f>
        <v>0.36122330439372763</v>
      </c>
      <c r="E7" s="47">
        <f>('Radio (RV)'!E7)/('Radio (RV)'!E30)*100</f>
        <v>0.41854481068126353</v>
      </c>
      <c r="F7" s="11" t="s">
        <v>267</v>
      </c>
      <c r="G7" s="11"/>
      <c r="H7" s="11"/>
      <c r="I7" s="11"/>
      <c r="J7" s="11"/>
      <c r="K7" s="11"/>
      <c r="L7" s="11"/>
      <c r="M7" s="11"/>
      <c r="N7" s="24"/>
      <c r="O7" s="626" t="s">
        <v>8</v>
      </c>
      <c r="P7" s="623"/>
      <c r="Q7" s="623"/>
      <c r="R7" s="623"/>
      <c r="S7" s="623"/>
      <c r="T7" s="24"/>
      <c r="U7" s="24"/>
      <c r="V7" s="24"/>
      <c r="W7" s="24"/>
    </row>
    <row r="8" spans="1:23" ht="15.75" customHeight="1" x14ac:dyDescent="0.25">
      <c r="A8" s="9" t="s">
        <v>268</v>
      </c>
      <c r="B8" s="47">
        <f>('Radio (RV)'!B8)/('Radio (RV)'!B30)*100</f>
        <v>1.689480823776051</v>
      </c>
      <c r="C8" s="47">
        <f>('Radio (RV)'!C8)/('Radio (RV)'!C30)*100</f>
        <v>1.960770582839056</v>
      </c>
      <c r="D8" s="47">
        <f>('Radio (RV)'!D8)/('Radio (RV)'!D30)*100</f>
        <v>2.6875013846893339</v>
      </c>
      <c r="E8" s="47">
        <f>('Radio (RV)'!E8)/('Radio (RV)'!E30)*100</f>
        <v>3.6213224924161493</v>
      </c>
      <c r="F8" s="11" t="s">
        <v>269</v>
      </c>
      <c r="G8" s="11"/>
      <c r="H8" s="11"/>
      <c r="I8" s="11"/>
      <c r="J8" s="11"/>
      <c r="K8" s="11"/>
      <c r="L8" s="11"/>
      <c r="M8" s="11"/>
      <c r="N8" s="24"/>
      <c r="O8" s="623"/>
      <c r="P8" s="623"/>
      <c r="Q8" s="623"/>
      <c r="R8" s="623"/>
      <c r="S8" s="623"/>
      <c r="T8" s="24"/>
      <c r="U8" s="24"/>
      <c r="V8" s="24"/>
      <c r="W8" s="24"/>
    </row>
    <row r="9" spans="1:23" ht="15.75" customHeight="1" x14ac:dyDescent="0.25">
      <c r="A9" s="9" t="s">
        <v>271</v>
      </c>
      <c r="B9" s="11"/>
      <c r="C9" s="11"/>
      <c r="D9" s="11"/>
      <c r="E9" s="11"/>
      <c r="F9" s="11"/>
      <c r="G9" s="11"/>
      <c r="H9" s="47">
        <f>('Radio (RV)'!H9)/('Radio (RV)'!H30)*100</f>
        <v>8.7381342128672443</v>
      </c>
      <c r="I9" s="47">
        <f>('Radio (RV)'!I9)/('Radio (RV)'!I30)*100</f>
        <v>8.0915367645397929</v>
      </c>
      <c r="J9" s="11" t="s">
        <v>32</v>
      </c>
      <c r="K9" s="11"/>
      <c r="L9" s="11"/>
      <c r="M9" s="11"/>
      <c r="N9" s="24"/>
      <c r="O9" s="623"/>
      <c r="P9" s="623"/>
      <c r="Q9" s="623"/>
      <c r="R9" s="623"/>
      <c r="S9" s="623"/>
      <c r="T9" s="24"/>
      <c r="U9" s="24"/>
      <c r="V9" s="24"/>
      <c r="W9" s="24"/>
    </row>
    <row r="10" spans="1:23" ht="15.75" customHeight="1" x14ac:dyDescent="0.25">
      <c r="A10" s="9" t="s">
        <v>272</v>
      </c>
      <c r="B10" s="11"/>
      <c r="C10" s="11"/>
      <c r="D10" s="11"/>
      <c r="E10" s="11"/>
      <c r="F10" s="11"/>
      <c r="G10" s="11"/>
      <c r="H10" s="11" t="s">
        <v>273</v>
      </c>
      <c r="I10" s="11"/>
      <c r="J10" s="11"/>
      <c r="K10" s="11"/>
      <c r="L10" s="11"/>
      <c r="M10" s="11"/>
      <c r="N10" s="24"/>
      <c r="O10" s="623"/>
      <c r="P10" s="623"/>
      <c r="Q10" s="623"/>
      <c r="R10" s="623"/>
      <c r="S10" s="623"/>
      <c r="T10" s="24"/>
      <c r="U10" s="24"/>
      <c r="V10" s="24"/>
      <c r="W10" s="24"/>
    </row>
    <row r="11" spans="1:23" ht="15.75" customHeight="1" x14ac:dyDescent="0.25">
      <c r="A11" s="9" t="s">
        <v>274</v>
      </c>
      <c r="B11" s="47">
        <f>('Radio (RV)'!B11)/('Radio (RV)'!B30)*100</f>
        <v>3.7242569983968425</v>
      </c>
      <c r="C11" s="47">
        <f>('Radio (RV)'!C11)/('Radio (RV)'!C30)*100</f>
        <v>5.1220129510897783</v>
      </c>
      <c r="D11" s="47">
        <f>('Radio (RV)'!D11)/('Radio (RV)'!D30)*100</f>
        <v>7.1281398733695589</v>
      </c>
      <c r="E11" s="47">
        <f>('Radio (RV)'!E11)/('Radio (RV)'!E30)*100</f>
        <v>6.3418637618443627</v>
      </c>
      <c r="F11" s="47">
        <f>('Radio (RV)'!F11)/('Radio (RV)'!F30)*100</f>
        <v>7.378221773417966</v>
      </c>
      <c r="G11" s="47">
        <f>('Radio (RV)'!G11)/('Radio (RV)'!G30)*100</f>
        <v>7.7572119013823384</v>
      </c>
      <c r="H11" s="11" t="s">
        <v>275</v>
      </c>
      <c r="I11" s="11"/>
      <c r="J11" s="11"/>
      <c r="K11" s="11"/>
      <c r="L11" s="11"/>
      <c r="M11" s="11"/>
      <c r="N11" s="24"/>
      <c r="O11" s="623"/>
      <c r="P11" s="623"/>
      <c r="Q11" s="623"/>
      <c r="R11" s="623"/>
      <c r="S11" s="623"/>
      <c r="T11" s="24"/>
      <c r="U11" s="24"/>
      <c r="V11" s="24"/>
      <c r="W11" s="24"/>
    </row>
    <row r="12" spans="1:23" ht="15.75" customHeight="1" x14ac:dyDescent="0.25">
      <c r="A12" s="9" t="s">
        <v>277</v>
      </c>
      <c r="B12" s="47">
        <f>('Radio (RV)'!B12)/('Radio (RV)'!B30)*100</f>
        <v>30.97669256381797</v>
      </c>
      <c r="C12" s="47">
        <f>('Radio (RV)'!C12)/('Radio (RV)'!C30)*100</f>
        <v>27.607849885004804</v>
      </c>
      <c r="D12" s="47">
        <f>('Radio (RV)'!D12)/('Radio (RV)'!D30)*100</f>
        <v>26.025416634959292</v>
      </c>
      <c r="E12" s="47">
        <f>('Radio (RV)'!E12)/('Radio (RV)'!E30)*100</f>
        <v>26.294622791038769</v>
      </c>
      <c r="F12" s="47">
        <f>('Radio (RV)'!F12)/('Radio (RV)'!F30)*100</f>
        <v>21.068504760530875</v>
      </c>
      <c r="G12" s="47">
        <f>('Radio (RV)'!G12)/('Radio (RV)'!G30)*100</f>
        <v>19.964713529575636</v>
      </c>
      <c r="H12" s="47">
        <f>('Radio (RV)'!H12)/('Radio (RV)'!H30)*100</f>
        <v>20.136804351093257</v>
      </c>
      <c r="I12" s="47">
        <f>('Radio (RV)'!I12)/('Radio (RV)'!I30)*100</f>
        <v>18.306348995208825</v>
      </c>
      <c r="J12" s="47">
        <f>('Radio (RV)'!J12)/('Radio (RV)'!J30)*100</f>
        <v>16.632010473871599</v>
      </c>
      <c r="K12" s="47">
        <f>('Radio (RV)'!K12)/('Radio (RV)'!K30)*100</f>
        <v>16.14517775553287</v>
      </c>
      <c r="L12" s="47">
        <f>('Radio (RV)'!L12)/('Radio (RV)'!L30)*100</f>
        <v>15.249279186384914</v>
      </c>
      <c r="M12" s="47">
        <f>('Radio (RV)'!M12)/('Radio (RV)'!M30)*100</f>
        <v>15.173174961896251</v>
      </c>
      <c r="N12" s="24"/>
      <c r="O12" s="623"/>
      <c r="P12" s="623"/>
      <c r="Q12" s="623"/>
      <c r="R12" s="623"/>
      <c r="S12" s="623"/>
      <c r="T12" s="24"/>
      <c r="U12" s="24"/>
      <c r="V12" s="24"/>
      <c r="W12" s="24"/>
    </row>
    <row r="13" spans="1:23" ht="15.75" customHeight="1" x14ac:dyDescent="0.25">
      <c r="A13" s="9" t="s">
        <v>17</v>
      </c>
      <c r="B13" s="47">
        <f>('Radio (RV)'!B13)/('Radio (RV)'!B30)*100</f>
        <v>2.8363546676532243</v>
      </c>
      <c r="C13" s="47">
        <f>('Radio (RV)'!C13)/('Radio (RV)'!C30)*100</f>
        <v>2.5209907493645005</v>
      </c>
      <c r="D13" s="47">
        <f>('Radio (RV)'!D13)/('Radio (RV)'!D30)*100</f>
        <v>3.4677437221797858</v>
      </c>
      <c r="E13" s="47">
        <f>('Radio (RV)'!E13)/('Radio (RV)'!E30)*100</f>
        <v>7.087965380884877</v>
      </c>
      <c r="F13" s="47">
        <f>('Radio (RV)'!F13)/('Radio (RV)'!F30)*100</f>
        <v>10.6014978842085</v>
      </c>
      <c r="G13" s="47">
        <f>('Radio (RV)'!G13)/('Radio (RV)'!G30)*100</f>
        <v>12.930792151571371</v>
      </c>
      <c r="H13" s="47">
        <f>('Radio (RV)'!H13)/('Radio (RV)'!H30)*100</f>
        <v>12.251666389104395</v>
      </c>
      <c r="I13" s="47">
        <f>('Radio (RV)'!I13)/('Radio (RV)'!I30)*100</f>
        <v>10.259988304416463</v>
      </c>
      <c r="J13" s="47">
        <f>('Radio (RV)'!J13)/('Radio (RV)'!J30)*100</f>
        <v>10.900409357764469</v>
      </c>
      <c r="K13" s="47">
        <f>('Radio (RV)'!K13)/('Radio (RV)'!K30)*100</f>
        <v>11.154940186526852</v>
      </c>
      <c r="L13" s="110">
        <f>('Radio (RV)'!L13)/('Radio (RV)'!L30)*100</f>
        <v>11.231834571336657</v>
      </c>
      <c r="M13" s="110">
        <f>('Radio (RV)'!M13)/('Radio (RV)'!M30)*100</f>
        <v>12.009250013139223</v>
      </c>
      <c r="N13" s="24"/>
      <c r="O13" s="623"/>
      <c r="P13" s="623"/>
      <c r="Q13" s="623"/>
      <c r="R13" s="623"/>
      <c r="S13" s="623"/>
      <c r="T13" s="24"/>
      <c r="U13" s="24"/>
      <c r="V13" s="24"/>
      <c r="W13" s="24"/>
    </row>
    <row r="14" spans="1:23" ht="15.75" customHeight="1" x14ac:dyDescent="0.25">
      <c r="A14" s="9" t="s">
        <v>401</v>
      </c>
      <c r="B14" s="47">
        <f>('Radio (RV)'!B14)/('Radio (RV)'!B30)*100</f>
        <v>2.1395116537180914</v>
      </c>
      <c r="C14" s="47">
        <f>('Radio (RV)'!C14)/('Radio (RV)'!C30)*100</f>
        <v>2.3009042553723611</v>
      </c>
      <c r="D14" s="47">
        <f>('Radio (RV)'!D14)/('Radio (RV)'!D30)*100</f>
        <v>3.4099479934767891</v>
      </c>
      <c r="E14" s="11" t="s">
        <v>145</v>
      </c>
      <c r="F14" s="11"/>
      <c r="G14" s="11"/>
      <c r="H14" s="47"/>
      <c r="I14" s="47"/>
      <c r="J14" s="47"/>
      <c r="K14" s="47"/>
      <c r="L14" s="110"/>
      <c r="M14" s="47"/>
      <c r="N14" s="24"/>
      <c r="O14" s="623"/>
      <c r="P14" s="623"/>
      <c r="Q14" s="623"/>
      <c r="R14" s="623"/>
      <c r="S14" s="623"/>
      <c r="T14" s="24"/>
      <c r="U14" s="24"/>
      <c r="V14" s="24"/>
      <c r="W14" s="24"/>
    </row>
    <row r="15" spans="1:23" ht="15.75" customHeight="1" x14ac:dyDescent="0.25">
      <c r="A15" s="9" t="s">
        <v>149</v>
      </c>
      <c r="B15" s="47">
        <f>('Radio (RV)'!B15)/('Radio (RV)'!B30)*100</f>
        <v>2.9843383894438276</v>
      </c>
      <c r="C15" s="47">
        <f>('Radio (RV)'!C15)/('Radio (RV)'!C30)*100</f>
        <v>2.0708138298351253</v>
      </c>
      <c r="D15" s="11" t="s">
        <v>405</v>
      </c>
      <c r="E15" s="11"/>
      <c r="F15" s="11"/>
      <c r="G15" s="11"/>
      <c r="H15" s="47"/>
      <c r="I15" s="47"/>
      <c r="J15" s="47"/>
      <c r="K15" s="47"/>
      <c r="L15" s="110"/>
      <c r="M15" s="47"/>
      <c r="N15" s="24"/>
      <c r="O15" s="623"/>
      <c r="P15" s="623"/>
      <c r="Q15" s="623"/>
      <c r="R15" s="623"/>
      <c r="S15" s="623"/>
      <c r="T15" s="24"/>
      <c r="U15" s="24"/>
      <c r="V15" s="24"/>
      <c r="W15" s="24"/>
    </row>
    <row r="16" spans="1:23" ht="15.75" customHeight="1" x14ac:dyDescent="0.25">
      <c r="A16" s="9" t="s">
        <v>409</v>
      </c>
      <c r="B16" s="47">
        <f>('Radio (RV)'!B16)/('Radio (RV)'!B30)*100</f>
        <v>0.62893081761006275</v>
      </c>
      <c r="C16" s="47">
        <f>('Radio (RV)'!C16)/('Radio (RV)'!C30)*100</f>
        <v>0.42016512489408342</v>
      </c>
      <c r="D16" s="47">
        <f>('Radio (RV)'!D16)/('Radio (RV)'!D30)*100</f>
        <v>0.54905942267846597</v>
      </c>
      <c r="E16" s="47">
        <f>('Radio (RV)'!E16)/('Radio (RV)'!E30)*100</f>
        <v>4.4220169128498714</v>
      </c>
      <c r="F16" s="47">
        <f>('Radio (RV)'!F16)/('Radio (RV)'!F30)*100</f>
        <v>12.524944700904021</v>
      </c>
      <c r="G16" s="47">
        <f>('Radio (RV)'!G16)/('Radio (RV)'!G30)*100</f>
        <v>14.396324041734813</v>
      </c>
      <c r="H16" s="47">
        <f>('Radio (RV)'!H16)/('Radio (RV)'!H30)*100</f>
        <v>14.541555134021959</v>
      </c>
      <c r="I16" s="47">
        <f>('Radio (RV)'!I16)/('Radio (RV)'!I30)*100</f>
        <v>13.106080950504593</v>
      </c>
      <c r="J16" s="47">
        <f>('Radio (RV)'!J16)/('Radio (RV)'!J30)*100</f>
        <v>9.6612776780548284</v>
      </c>
      <c r="K16" s="47">
        <f>('Radio (RV)'!K16)/('Radio (RV)'!K30)*100</f>
        <v>9.4849202652209677</v>
      </c>
      <c r="L16" s="47">
        <f>('Radio (RV)'!L16)/('Radio (RV)'!L30)*100</f>
        <v>9.1905924755213526</v>
      </c>
      <c r="M16" s="47">
        <f>('Radio (RV)'!M16)/('Radio (RV)'!M30)*100</f>
        <v>9.0713197035791246</v>
      </c>
      <c r="N16" s="24"/>
      <c r="O16" s="623"/>
      <c r="P16" s="623"/>
      <c r="Q16" s="623"/>
      <c r="R16" s="623"/>
      <c r="S16" s="623"/>
      <c r="T16" s="24"/>
      <c r="U16" s="24"/>
      <c r="V16" s="24"/>
      <c r="W16" s="24"/>
    </row>
    <row r="17" spans="1:23" ht="15.75" customHeight="1" x14ac:dyDescent="0.25">
      <c r="A17" s="9" t="s">
        <v>412</v>
      </c>
      <c r="B17" s="47">
        <f>('Radio (RV)'!B17)/('Radio (RV)'!B30)*100</f>
        <v>0.94956221482303604</v>
      </c>
      <c r="C17" s="47">
        <f>('Radio (RV)'!C17)/('Radio (RV)'!C30)*100</f>
        <v>1.1104364015057917</v>
      </c>
      <c r="D17" s="47">
        <f>('Radio (RV)'!D17)/('Radio (RV)'!D30)*100</f>
        <v>1.5219541891789059</v>
      </c>
      <c r="E17" s="47">
        <f>('Radio (RV)'!E17)/('Radio (RV)'!E30)*100</f>
        <v>2.0472300522453106</v>
      </c>
      <c r="F17" s="47">
        <f>('Radio (RV)'!F17)/('Radio (RV)'!F30)*100</f>
        <v>2.4418758415079824</v>
      </c>
      <c r="G17" s="11" t="s">
        <v>74</v>
      </c>
      <c r="H17" s="47"/>
      <c r="I17" s="47"/>
      <c r="J17" s="47"/>
      <c r="K17" s="47"/>
      <c r="L17" s="110"/>
      <c r="M17" s="47"/>
      <c r="N17" s="24"/>
      <c r="O17" s="623"/>
      <c r="P17" s="623"/>
      <c r="Q17" s="623"/>
      <c r="R17" s="623"/>
      <c r="S17" s="623"/>
      <c r="T17" s="24"/>
      <c r="U17" s="24"/>
      <c r="V17" s="24"/>
      <c r="W17" s="24"/>
    </row>
    <row r="18" spans="1:23" ht="15.75" customHeight="1" x14ac:dyDescent="0.25">
      <c r="A18" s="9" t="s">
        <v>416</v>
      </c>
      <c r="B18" s="47">
        <f>('Radio (RV)'!B18)/('Radio (RV)'!B30)*100</f>
        <v>2.9473424589961765</v>
      </c>
      <c r="C18" s="47">
        <f>('Radio (RV)'!C18)/('Radio (RV)'!C30)*100</f>
        <v>3.401336725333056</v>
      </c>
      <c r="D18" s="47">
        <f>('Radio (RV)'!D18)/('Radio (RV)'!D30)*100</f>
        <v>4.6814540249427106</v>
      </c>
      <c r="E18" s="47">
        <f>('Radio (RV)'!E18)/('Radio (RV)'!E30)*100</f>
        <v>6.305468560915557</v>
      </c>
      <c r="F18" s="11" t="s">
        <v>16</v>
      </c>
      <c r="G18" s="11"/>
      <c r="H18" s="47"/>
      <c r="I18" s="47"/>
      <c r="J18" s="47"/>
      <c r="K18" s="47"/>
      <c r="L18" s="110"/>
      <c r="M18" s="47"/>
      <c r="N18" s="24"/>
      <c r="O18" s="24"/>
      <c r="P18" s="24"/>
      <c r="Q18" s="24"/>
      <c r="R18" s="24"/>
      <c r="S18" s="24"/>
      <c r="T18" s="24"/>
      <c r="U18" s="24"/>
      <c r="V18" s="24"/>
      <c r="W18" s="24"/>
    </row>
    <row r="19" spans="1:23" ht="15.75" customHeight="1" x14ac:dyDescent="0.25">
      <c r="A19" s="9" t="s">
        <v>417</v>
      </c>
      <c r="B19" s="47"/>
      <c r="C19" s="47">
        <f>('Radio (RV)'!C19)/('Radio (RV)'!C30)*100</f>
        <v>0.94036956523913906</v>
      </c>
      <c r="D19" s="47">
        <f>('Radio (RV)'!D19)/('Radio (RV)'!D30)*100</f>
        <v>1.3004038958174196</v>
      </c>
      <c r="E19" s="47">
        <f>('Radio (RV)'!E19)/('Radio (RV)'!E30)*100</f>
        <v>1.7469696445826652</v>
      </c>
      <c r="F19" s="47">
        <f>('Radio (RV)'!F19)/('Radio (RV)'!F30)*100</f>
        <v>2.4193354491248318</v>
      </c>
      <c r="G19" s="47">
        <f>('Radio (RV)'!G19)/('Radio (RV)'!G30)*100</f>
        <v>3.6638297254085961</v>
      </c>
      <c r="H19" s="47">
        <f>('Radio (RV)'!H19)/('Radio (RV)'!H30)*100</f>
        <v>4.8641095734612554</v>
      </c>
      <c r="I19" s="47">
        <f>('Radio (RV)'!I19)/('Radio (RV)'!I30)*100</f>
        <v>5.2956397559488106</v>
      </c>
      <c r="J19" s="47">
        <f>('Radio (RV)'!J19)/('Radio (RV)'!J30)*100</f>
        <v>5.6081816260962114</v>
      </c>
      <c r="K19" s="47">
        <f>('Radio (RV)'!K19)/('Radio (RV)'!K30)*100</f>
        <v>5.8029475603833607</v>
      </c>
      <c r="L19" s="110">
        <f>('Radio (RV)'!L19)/('Radio (RV)'!L30)*100</f>
        <v>6.1037141100359564</v>
      </c>
      <c r="M19" s="110">
        <f>('Radio (RV)'!M19)/('Radio (RV)'!M30)*100</f>
        <v>7.1319703579124401</v>
      </c>
      <c r="N19" s="24"/>
      <c r="O19" s="24"/>
      <c r="P19" s="24"/>
      <c r="Q19" s="24"/>
      <c r="R19" s="24"/>
      <c r="S19" s="24"/>
      <c r="T19" s="24"/>
      <c r="U19" s="24"/>
      <c r="V19" s="24"/>
      <c r="W19" s="24"/>
    </row>
    <row r="20" spans="1:23" ht="15.75" customHeight="1" x14ac:dyDescent="0.25">
      <c r="A20" s="9" t="s">
        <v>419</v>
      </c>
      <c r="B20" s="47">
        <f>('Radio (RV)'!B20)/('Radio (RV)'!B30)*100</f>
        <v>1.5045011715377972</v>
      </c>
      <c r="C20" s="47">
        <f>('Radio (RV)'!C20)/('Radio (RV)'!C30)*100</f>
        <v>1.7406840888469166</v>
      </c>
      <c r="D20" s="47">
        <f>('Radio (RV)'!D20)/('Radio (RV)'!D30)*100</f>
        <v>2.504481577129845</v>
      </c>
      <c r="E20" s="11"/>
      <c r="F20" s="11"/>
      <c r="G20" s="11"/>
      <c r="H20" s="47"/>
      <c r="I20" s="47"/>
      <c r="J20" s="47"/>
      <c r="K20" s="47"/>
      <c r="L20" s="110"/>
      <c r="M20" s="47"/>
      <c r="N20" s="24"/>
      <c r="O20" s="24"/>
      <c r="P20" s="24"/>
      <c r="Q20" s="24"/>
      <c r="R20" s="24"/>
      <c r="S20" s="24"/>
      <c r="T20" s="24"/>
      <c r="U20" s="24"/>
      <c r="V20" s="24"/>
      <c r="W20" s="24"/>
    </row>
    <row r="21" spans="1:23" ht="15.75" customHeight="1" x14ac:dyDescent="0.25">
      <c r="A21" s="9" t="s">
        <v>20</v>
      </c>
      <c r="B21" s="11"/>
      <c r="C21" s="11"/>
      <c r="D21" s="11"/>
      <c r="E21" s="11"/>
      <c r="F21" s="11"/>
      <c r="G21" s="11"/>
      <c r="H21" s="47">
        <f>('Radio (RV)'!H21)/('Radio (RV)'!H30)*100</f>
        <v>1.6856830672120429</v>
      </c>
      <c r="I21" s="47">
        <f>('Radio (RV)'!I21)/('Radio (RV)'!I30)*100</f>
        <v>2.0981776473806661</v>
      </c>
      <c r="J21" s="47">
        <f>('Radio (RV)'!J21)/('Radio (RV)'!J30)*100</f>
        <v>4.1518316439673537</v>
      </c>
      <c r="K21" s="47">
        <f>('Radio (RV)'!K21)/('Radio (RV)'!K30)*100</f>
        <v>4.7275934864267528</v>
      </c>
      <c r="L21" s="110">
        <f>('Radio (RV)'!L21)/('Radio (RV)'!L30)*100</f>
        <v>4.7378830018065994</v>
      </c>
      <c r="M21" s="110">
        <f>('Radio (RV)'!M21)/('Radio (RV)'!M30)*100</f>
        <v>5.1032742944237128</v>
      </c>
      <c r="N21" s="24"/>
      <c r="O21" s="24"/>
      <c r="P21" s="24"/>
      <c r="Q21" s="24"/>
      <c r="R21" s="24"/>
      <c r="S21" s="24"/>
      <c r="T21" s="24"/>
      <c r="U21" s="24"/>
      <c r="V21" s="24"/>
      <c r="W21" s="24"/>
    </row>
    <row r="22" spans="1:23" ht="15.75" customHeight="1" x14ac:dyDescent="0.25">
      <c r="A22" s="9" t="s">
        <v>422</v>
      </c>
      <c r="B22" s="11"/>
      <c r="C22" s="11"/>
      <c r="D22" s="11"/>
      <c r="E22" s="11"/>
      <c r="F22" s="11"/>
      <c r="G22" s="47">
        <f>('Radio (RV)'!G22)/('Radio (RV)'!G30)*100</f>
        <v>2.1224944616160144</v>
      </c>
      <c r="H22" s="47">
        <f>('Radio (RV)'!H22)/('Radio (RV)'!H30)*100</f>
        <v>2.0715623235617873</v>
      </c>
      <c r="I22" s="47">
        <f>('Radio (RV)'!I22)/('Radio (RV)'!I30)*100</f>
        <v>2.2247862121756232</v>
      </c>
      <c r="J22" s="47">
        <f>('Radio (RV)'!J22)/('Radio (RV)'!J30)*100</f>
        <v>2.2255386743005281</v>
      </c>
      <c r="K22" s="47">
        <f>('Radio (RV)'!K22)/('Radio (RV)'!K30)*100</f>
        <v>2.2933593670553973</v>
      </c>
      <c r="L22" s="110">
        <f>('Radio (RV)'!L22)/('Radio (RV)'!L30)*100</f>
        <v>2.2812163866967707</v>
      </c>
      <c r="M22" s="110">
        <f>('Radio (RV)'!M22)/('Radio (RV)'!M30)*100</f>
        <v>2.4395492461480259</v>
      </c>
      <c r="N22" s="24"/>
      <c r="O22" s="24"/>
      <c r="P22" s="24"/>
      <c r="Q22" s="24"/>
      <c r="R22" s="24"/>
      <c r="S22" s="24"/>
      <c r="T22" s="24"/>
      <c r="U22" s="24"/>
      <c r="V22" s="24"/>
      <c r="W22" s="24"/>
    </row>
    <row r="23" spans="1:23" ht="15.75" customHeight="1" x14ac:dyDescent="0.25">
      <c r="A23" s="9" t="s">
        <v>428</v>
      </c>
      <c r="B23" s="47">
        <f>('Radio (RV)'!B23)/('Radio (RV)'!B30)*100</f>
        <v>0.64126279442594647</v>
      </c>
      <c r="C23" s="47">
        <f>('Radio (RV)'!C23)/('Radio (RV)'!C30)*100</f>
        <v>0.74029093433719451</v>
      </c>
      <c r="D23" s="47">
        <f>('Radio (RV)'!D23)/('Radio (RV)'!D30)*100</f>
        <v>1.021057873752937</v>
      </c>
      <c r="E23" s="47">
        <f>('Radio (RV)'!E23)/('Radio (RV)'!E30)*100</f>
        <v>1.3739188350624087</v>
      </c>
      <c r="F23" s="47">
        <f>('Radio (RV)'!F23)/('Radio (RV)'!F30)*100</f>
        <v>1.2923158299673014</v>
      </c>
      <c r="G23" s="47">
        <f>('Radio (RV)'!G23)/('Radio (RV)'!G30)*100</f>
        <v>1.8255979149018695</v>
      </c>
      <c r="H23" s="47">
        <f>('Radio (RV)'!H23)/('Radio (RV)'!H30)*100</f>
        <v>1.7813325220438512</v>
      </c>
      <c r="I23" s="47">
        <f>('Radio (RV)'!I23)/('Radio (RV)'!I30)*100</f>
        <v>1.9130894539195773</v>
      </c>
      <c r="J23" s="47">
        <f>('Radio (RV)'!J23)/('Radio (RV)'!J30)*100</f>
        <v>1.9137364946769098</v>
      </c>
      <c r="K23" s="47">
        <f>('Radio (RV)'!K23)/('Radio (RV)'!K30)*100</f>
        <v>1.9720553800407219</v>
      </c>
      <c r="L23" s="110">
        <f>('Radio (RV)'!L23)/('Radio (RV)'!L30)*100</f>
        <v>1.9616136542083225</v>
      </c>
      <c r="M23" s="110">
        <f>('Radio (RV)'!M23)/('Radio (RV)'!M30)*100</f>
        <v>2.0977637804395144</v>
      </c>
      <c r="N23" s="24"/>
      <c r="O23" s="24"/>
      <c r="P23" s="24"/>
      <c r="Q23" s="24"/>
      <c r="R23" s="24"/>
      <c r="S23" s="24"/>
      <c r="T23" s="24"/>
      <c r="U23" s="24"/>
      <c r="V23" s="24"/>
      <c r="W23" s="24"/>
    </row>
    <row r="24" spans="1:23" ht="15.75" customHeight="1" x14ac:dyDescent="0.25">
      <c r="A24" s="9" t="s">
        <v>432</v>
      </c>
      <c r="B24" s="47">
        <f>('Radio (RV)'!B24)/('Radio (RV)'!B30)*100</f>
        <v>0.69059070168948067</v>
      </c>
      <c r="C24" s="47">
        <f>('Radio (RV)'!C24)/('Radio (RV)'!C30)*100</f>
        <v>0.80031452360777788</v>
      </c>
      <c r="D24" s="47">
        <f>('Radio (RV)'!D24)/('Radio (RV)'!D30)*100</f>
        <v>1.0981188453569319</v>
      </c>
      <c r="E24" s="47">
        <f>('Radio (RV)'!E24)/('Radio (RV)'!E30)*100</f>
        <v>1.4831044378488252</v>
      </c>
      <c r="F24" s="47">
        <f>('Radio (RV)'!F24)/('Radio (RV)'!F30)*100</f>
        <v>1.7431236776303136</v>
      </c>
      <c r="G24" s="47">
        <f>('Radio (RV)'!G24)/('Radio (RV)'!G30)*100</f>
        <v>1.4465810467561524</v>
      </c>
      <c r="H24" s="47">
        <f>('Radio (RV)'!H24)/('Radio (RV)'!H30)*100</f>
        <v>1.4115057008582768</v>
      </c>
      <c r="I24" s="47">
        <f>('Radio (RV)'!I24)/('Radio (RV)'!I30)*100</f>
        <v>1.5159082524137828</v>
      </c>
      <c r="J24" s="47">
        <f>('Radio (RV)'!J24)/('Radio (RV)'!J30)*100</f>
        <v>1.5164209594498701</v>
      </c>
      <c r="K24" s="47">
        <f>('Radio (RV)'!K24)/('Radio (RV)'!K30)*100</f>
        <v>1.5626321177485307</v>
      </c>
      <c r="L24" s="47">
        <f>('Radio (RV)'!L24)/('Radio (RV)'!L30)*100</f>
        <v>1.5543582242688787</v>
      </c>
      <c r="M24" s="47">
        <f>('Radio (RV)'!M24)/('Radio (RV)'!M30)*100</f>
        <v>1.6622418883067436</v>
      </c>
      <c r="N24" s="24"/>
      <c r="O24" s="24"/>
      <c r="P24" s="24"/>
      <c r="Q24" s="24"/>
      <c r="R24" s="24"/>
      <c r="S24" s="24"/>
      <c r="T24" s="24"/>
      <c r="U24" s="24"/>
      <c r="V24" s="24"/>
      <c r="W24" s="24"/>
    </row>
    <row r="25" spans="1:23" ht="15.75" customHeight="1" x14ac:dyDescent="0.25">
      <c r="A25" s="9" t="s">
        <v>433</v>
      </c>
      <c r="B25" s="47">
        <f>('Radio (RV)'!B25)/('Radio (RV)'!B30)*100</f>
        <v>0.65359477124182996</v>
      </c>
      <c r="C25" s="47">
        <f>('Radio (RV)'!C25)/('Radio (RV)'!C30)*100</f>
        <v>0.76029879742738893</v>
      </c>
      <c r="D25" s="47">
        <f>('Radio (RV)'!D25)/('Radio (RV)'!D30)*100</f>
        <v>1.0499557381044351</v>
      </c>
      <c r="E25" s="47">
        <f>('Radio (RV)'!E25)/('Radio (RV)'!E30)*100</f>
        <v>1.4103140359912141</v>
      </c>
      <c r="F25" s="47">
        <f>('Radio (RV)'!F25)/('Radio (RV)'!F30)*100</f>
        <v>1.6604755722254279</v>
      </c>
      <c r="G25" s="47">
        <f>('Radio (RV)'!G25)/('Radio (RV)'!G30)*100</f>
        <v>1.7118928544581544</v>
      </c>
      <c r="H25" s="47">
        <f>('Radio (RV)'!H25)/('Radio (RV)'!H30)*100</f>
        <v>1.6704509913035002</v>
      </c>
      <c r="I25" s="47">
        <f>('Radio (RV)'!I25)/('Radio (RV)'!I30)*100</f>
        <v>1.4556734874172086</v>
      </c>
      <c r="J25" s="47">
        <f>('Radio (RV)'!J25)/('Radio (RV)'!J30)*100</f>
        <v>1.4561658219882878</v>
      </c>
      <c r="K25" s="47">
        <f>('Radio (RV)'!K25)/('Radio (RV)'!K30)*100</f>
        <v>1.5005407753214317</v>
      </c>
      <c r="L25" s="110">
        <f>('Radio (RV)'!L25)/('Radio (RV)'!L30)*100</f>
        <v>1.4925956458211038</v>
      </c>
      <c r="M25" s="110">
        <f>('Radio (RV)'!M25)/('Radio (RV)'!M30)*100</f>
        <v>1.5961925417515035</v>
      </c>
      <c r="N25" s="24"/>
      <c r="O25" s="24"/>
      <c r="P25" s="24"/>
      <c r="Q25" s="24"/>
      <c r="R25" s="24"/>
      <c r="S25" s="24"/>
      <c r="T25" s="24"/>
      <c r="U25" s="24"/>
      <c r="V25" s="24"/>
      <c r="W25" s="24"/>
    </row>
    <row r="26" spans="1:23" ht="15.75" customHeight="1" x14ac:dyDescent="0.25">
      <c r="A26" s="9" t="s">
        <v>110</v>
      </c>
      <c r="B26" s="47">
        <f>('Radio (RV)'!B26)/('Radio (RV)'!B30)*100</f>
        <v>34.869028674451449</v>
      </c>
      <c r="C26" s="47">
        <f>('Radio (RV)'!C26)/('Radio (RV)'!C30)*100</f>
        <v>36.949136503603661</v>
      </c>
      <c r="D26" s="47">
        <f>('Radio (RV)'!D26)/('Radio (RV)'!D30)*100</f>
        <v>30.642235769969144</v>
      </c>
      <c r="E26" s="47">
        <f>('Radio (RV)'!E26)/('Radio (RV)'!E30)*100</f>
        <v>23.407209525352005</v>
      </c>
      <c r="F26" s="47">
        <f>('Radio (RV)'!F26)/('Radio (RV)'!F30)*100</f>
        <v>19.560101702250421</v>
      </c>
      <c r="G26" s="47">
        <f>('Radio (RV)'!G26)/('Radio (RV)'!G30)*100</f>
        <v>16.34781872633906</v>
      </c>
      <c r="H26" s="47">
        <f>('Radio (RV)'!H26)/('Radio (RV)'!H30)*100</f>
        <v>16.067004744549969</v>
      </c>
      <c r="I26" s="47">
        <f>('Radio (RV)'!I26)/('Radio (RV)'!I30)*100</f>
        <v>19.368992352005346</v>
      </c>
      <c r="J26" s="47">
        <f>('Radio (RV)'!J26)/('Radio (RV)'!J30)*100</f>
        <v>21.211035030842424</v>
      </c>
      <c r="K26" s="47">
        <f>('Radio (RV)'!K26)/('Radio (RV)'!K30)*100</f>
        <v>21.212399703362468</v>
      </c>
      <c r="L26" s="110">
        <f>('Radio (RV)'!L26)/('Radio (RV)'!L30)*100</f>
        <v>25.049044265950599</v>
      </c>
      <c r="M26" s="110">
        <f>('Radio (RV)'!M26)/('Radio (RV)'!M30)*100</f>
        <v>21.963525516371472</v>
      </c>
      <c r="N26" s="24"/>
      <c r="O26" s="24"/>
      <c r="P26" s="24"/>
      <c r="Q26" s="24"/>
      <c r="R26" s="24"/>
      <c r="S26" s="24"/>
      <c r="T26" s="24"/>
      <c r="U26" s="24"/>
      <c r="V26" s="24"/>
      <c r="W26" s="24"/>
    </row>
    <row r="27" spans="1:23" ht="15.75" customHeight="1" x14ac:dyDescent="0.25">
      <c r="A27" s="9"/>
      <c r="B27" s="11"/>
      <c r="C27" s="11"/>
      <c r="D27" s="11"/>
      <c r="E27" s="11"/>
      <c r="F27" s="11"/>
      <c r="G27" s="11"/>
      <c r="H27" s="11"/>
      <c r="I27" s="11"/>
      <c r="J27" s="11"/>
      <c r="K27" s="11"/>
      <c r="L27" s="11"/>
      <c r="M27" s="11"/>
      <c r="N27" s="24"/>
      <c r="O27" s="24"/>
      <c r="P27" s="24"/>
      <c r="Q27" s="24"/>
      <c r="R27" s="24"/>
      <c r="S27" s="24"/>
      <c r="T27" s="24"/>
      <c r="U27" s="24"/>
      <c r="V27" s="24"/>
      <c r="W27" s="24"/>
    </row>
    <row r="28" spans="1:23" ht="15.75" customHeight="1" x14ac:dyDescent="0.25">
      <c r="A28" s="9"/>
      <c r="B28" s="11"/>
      <c r="C28" s="11"/>
      <c r="D28" s="11"/>
      <c r="E28" s="11"/>
      <c r="F28" s="11"/>
      <c r="G28" s="11"/>
      <c r="H28" s="11"/>
      <c r="I28" s="11"/>
      <c r="J28" s="11"/>
      <c r="K28" s="11"/>
      <c r="L28" s="11"/>
      <c r="M28" s="11"/>
      <c r="N28" s="24"/>
      <c r="O28" s="24"/>
      <c r="P28" s="24"/>
      <c r="Q28" s="24"/>
      <c r="R28" s="24"/>
      <c r="S28" s="24"/>
      <c r="T28" s="24"/>
      <c r="U28" s="24"/>
      <c r="V28" s="24"/>
      <c r="W28" s="24"/>
    </row>
    <row r="29" spans="1:23" ht="15.75" customHeight="1" x14ac:dyDescent="0.25">
      <c r="A29" s="9"/>
      <c r="B29" s="11"/>
      <c r="C29" s="11"/>
      <c r="D29" s="11"/>
      <c r="E29" s="11"/>
      <c r="F29" s="11"/>
      <c r="G29" s="11"/>
      <c r="H29" s="11"/>
      <c r="I29" s="11"/>
      <c r="J29" s="11"/>
      <c r="K29" s="11"/>
      <c r="L29" s="11"/>
      <c r="M29" s="11"/>
      <c r="N29" s="24"/>
      <c r="O29" s="24"/>
      <c r="P29" s="24"/>
      <c r="Q29" s="24"/>
      <c r="R29" s="24"/>
      <c r="S29" s="24"/>
      <c r="T29" s="24"/>
      <c r="U29" s="24"/>
      <c r="V29" s="24"/>
      <c r="W29" s="24"/>
    </row>
    <row r="30" spans="1:23" ht="15.75" customHeight="1" x14ac:dyDescent="0.25">
      <c r="A30" s="41" t="s">
        <v>41</v>
      </c>
      <c r="B30" s="469">
        <f>'Radio (RV)'!B30</f>
        <v>810.90000000000009</v>
      </c>
      <c r="C30" s="469">
        <f>'Radio (RV)'!C30</f>
        <v>999.60699999999997</v>
      </c>
      <c r="D30" s="469">
        <f>'Radio (RV)'!D30</f>
        <v>1038.1389999999999</v>
      </c>
      <c r="E30" s="469">
        <f>'Radio (RV)'!E30</f>
        <v>1099.046</v>
      </c>
      <c r="F30" s="469">
        <f>'Radio (RV)'!F30</f>
        <v>1330.944</v>
      </c>
      <c r="G30" s="469">
        <f>'Radio (RV)'!G30</f>
        <v>1583.0429999999999</v>
      </c>
      <c r="H30" s="469">
        <f>'Radio (RV)'!H30</f>
        <v>1969.528</v>
      </c>
      <c r="I30" s="469">
        <f>'Radio (RV)'!I30</f>
        <v>1992.2049999999999</v>
      </c>
      <c r="J30" s="469">
        <f>'Radio (RV)'!J30</f>
        <v>2025.6120000000001</v>
      </c>
      <c r="K30" s="469">
        <f>'Radio (RV)'!K30</f>
        <v>2017.94</v>
      </c>
      <c r="L30" s="469">
        <f>'Radio (RV)'!L30</f>
        <v>1998.7830000000001</v>
      </c>
      <c r="M30" s="469">
        <f>'Radio (RV)'!M30</f>
        <v>1902.7</v>
      </c>
      <c r="N30" s="44"/>
      <c r="O30" s="44"/>
      <c r="P30" s="44"/>
      <c r="Q30" s="44"/>
      <c r="R30" s="44"/>
      <c r="S30" s="44"/>
      <c r="T30" s="44"/>
      <c r="U30" s="44"/>
      <c r="V30" s="44"/>
      <c r="W30" s="44"/>
    </row>
    <row r="31" spans="1:23" ht="15.75" customHeight="1" x14ac:dyDescent="0.25">
      <c r="A31" s="41" t="s">
        <v>112</v>
      </c>
      <c r="B31" s="47">
        <f>SUM(B12+B5+B11+B15)</f>
        <v>47.550869404365507</v>
      </c>
      <c r="C31" s="47">
        <f t="shared" ref="C31:D31" si="0">SUM(C12+C5+C11+C18)</f>
        <v>44.334423428407355</v>
      </c>
      <c r="D31" s="47">
        <f t="shared" si="0"/>
        <v>45.926412551691058</v>
      </c>
      <c r="E31" s="47">
        <f>SUM(E12+E5+E11+E13)</f>
        <v>47.749593738569629</v>
      </c>
      <c r="F31" s="47">
        <f>SUM(F12+F6+F16+F13)</f>
        <v>53.609317897672632</v>
      </c>
      <c r="G31" s="47">
        <f>SUM(G12+G5+G16+G13)</f>
        <v>57.582137693038035</v>
      </c>
      <c r="H31" s="47">
        <f t="shared" ref="H31:K31" si="1">SUM(H12+H4+H16+H13)</f>
        <v>61.710216864142076</v>
      </c>
      <c r="I31" s="47">
        <f t="shared" si="1"/>
        <v>58.036196074199196</v>
      </c>
      <c r="J31" s="47">
        <f t="shared" si="1"/>
        <v>53.993558489977353</v>
      </c>
      <c r="K31" s="47">
        <f t="shared" si="1"/>
        <v>53.138349009385799</v>
      </c>
      <c r="L31" s="47">
        <f t="shared" ref="L31:M31" si="2">SUM(L12+L3+L16+L13)</f>
        <v>56.819574711211764</v>
      </c>
      <c r="M31" s="47">
        <f t="shared" si="2"/>
        <v>58.01755400220739</v>
      </c>
      <c r="N31" s="24"/>
      <c r="O31" s="24"/>
      <c r="P31" s="24"/>
      <c r="Q31" s="24"/>
      <c r="R31" s="24"/>
      <c r="S31" s="24"/>
      <c r="T31" s="24"/>
      <c r="U31" s="24"/>
      <c r="V31" s="24"/>
      <c r="W31" s="24"/>
    </row>
    <row r="32" spans="1:23" ht="15.75" customHeight="1" x14ac:dyDescent="0.25">
      <c r="A32" s="41" t="s">
        <v>43</v>
      </c>
      <c r="B32" s="47">
        <f t="shared" ref="B32:M32" si="3">SUMSQ(B3:B25)</f>
        <v>1116.6144244279585</v>
      </c>
      <c r="C32" s="47">
        <f t="shared" si="3"/>
        <v>904.74391572049888</v>
      </c>
      <c r="D32" s="47">
        <f t="shared" si="3"/>
        <v>880.34848689121281</v>
      </c>
      <c r="E32" s="47">
        <f t="shared" si="3"/>
        <v>968.36208100312842</v>
      </c>
      <c r="F32" s="47">
        <f t="shared" si="3"/>
        <v>931.54068344891982</v>
      </c>
      <c r="G32" s="47">
        <f t="shared" si="3"/>
        <v>1022.2870410447542</v>
      </c>
      <c r="H32" s="47">
        <f t="shared" si="3"/>
        <v>1100.6084399387023</v>
      </c>
      <c r="I32" s="47">
        <f t="shared" si="3"/>
        <v>990.87802125477083</v>
      </c>
      <c r="J32" s="47">
        <f t="shared" si="3"/>
        <v>895.52542784724187</v>
      </c>
      <c r="K32" s="47">
        <f t="shared" si="3"/>
        <v>873.04623400160961</v>
      </c>
      <c r="L32" s="47">
        <f t="shared" si="3"/>
        <v>963.79256361321018</v>
      </c>
      <c r="M32" s="47">
        <f t="shared" si="3"/>
        <v>1022.9708635794045</v>
      </c>
      <c r="N32" s="11"/>
      <c r="O32" s="11"/>
      <c r="P32" s="11"/>
      <c r="Q32" s="11"/>
      <c r="R32" s="11"/>
      <c r="S32" s="11"/>
      <c r="T32" s="11"/>
      <c r="U32" s="11"/>
      <c r="V32" s="11"/>
      <c r="W32" s="11"/>
    </row>
    <row r="33" spans="1:23" ht="15.75" customHeight="1" x14ac:dyDescent="0.25">
      <c r="A33" s="9"/>
      <c r="B33" s="11"/>
      <c r="C33" s="11"/>
      <c r="D33" s="11"/>
      <c r="E33" s="11"/>
      <c r="F33" s="11"/>
      <c r="G33" s="11"/>
      <c r="H33" s="11"/>
      <c r="I33" s="11"/>
      <c r="J33" s="11"/>
      <c r="K33" s="11"/>
      <c r="L33" s="11"/>
      <c r="M33" s="11"/>
      <c r="N33" s="11"/>
      <c r="O33" s="11"/>
      <c r="P33" s="11"/>
      <c r="Q33" s="11"/>
      <c r="R33" s="11"/>
      <c r="S33" s="11"/>
      <c r="T33" s="11"/>
      <c r="U33" s="11"/>
      <c r="V33" s="11"/>
      <c r="W33" s="11"/>
    </row>
    <row r="34" spans="1:23" ht="15.75" customHeight="1" x14ac:dyDescent="0.25">
      <c r="A34" s="9"/>
      <c r="B34" s="485"/>
      <c r="C34" s="11"/>
      <c r="D34" s="11"/>
      <c r="E34" s="11"/>
      <c r="F34" s="11"/>
      <c r="G34" s="11"/>
      <c r="H34" s="11"/>
      <c r="I34" s="11"/>
      <c r="J34" s="11"/>
      <c r="K34" s="11"/>
      <c r="L34" s="11"/>
      <c r="M34" s="11"/>
      <c r="N34" s="11"/>
      <c r="O34" s="11"/>
      <c r="P34" s="11"/>
      <c r="Q34" s="11"/>
      <c r="R34" s="11"/>
      <c r="S34" s="11"/>
      <c r="T34" s="11"/>
      <c r="U34" s="11"/>
      <c r="V34" s="11"/>
      <c r="W34" s="11"/>
    </row>
    <row r="35" spans="1:23" ht="15.75" customHeight="1" x14ac:dyDescent="0.25">
      <c r="A35" s="25"/>
      <c r="B35" s="24"/>
      <c r="C35" s="24"/>
      <c r="D35" s="24"/>
      <c r="E35" s="24"/>
      <c r="F35" s="24"/>
      <c r="G35" s="24"/>
      <c r="H35" s="24"/>
      <c r="I35" s="24"/>
      <c r="J35" s="24"/>
      <c r="K35" s="24"/>
      <c r="L35" s="24"/>
      <c r="M35" s="24"/>
      <c r="N35" s="24"/>
      <c r="O35" s="24"/>
      <c r="P35" s="24"/>
      <c r="Q35" s="24"/>
      <c r="R35" s="24"/>
      <c r="S35" s="24"/>
      <c r="T35" s="24"/>
      <c r="U35" s="24"/>
      <c r="V35" s="24"/>
      <c r="W35" s="24"/>
    </row>
    <row r="36" spans="1:23" ht="15.75" customHeight="1" x14ac:dyDescent="0.25">
      <c r="A36" s="41"/>
      <c r="B36" s="11"/>
      <c r="C36" s="11"/>
      <c r="D36" s="11"/>
      <c r="E36" s="11"/>
      <c r="F36" s="11"/>
      <c r="G36" s="11"/>
      <c r="H36" s="11"/>
      <c r="I36" s="11"/>
      <c r="J36" s="11"/>
      <c r="K36" s="11"/>
      <c r="L36" s="11"/>
      <c r="M36" s="11"/>
      <c r="N36" s="11"/>
      <c r="O36" s="11"/>
      <c r="P36" s="11"/>
      <c r="Q36" s="11"/>
      <c r="R36" s="11"/>
      <c r="S36" s="11"/>
      <c r="T36" s="11"/>
      <c r="U36" s="11"/>
      <c r="V36" s="11"/>
      <c r="W36" s="11"/>
    </row>
    <row r="37" spans="1:23" ht="15.75" customHeight="1" x14ac:dyDescent="0.25">
      <c r="A37" s="56"/>
      <c r="B37" s="44"/>
      <c r="C37" s="44"/>
      <c r="D37" s="44"/>
      <c r="E37" s="44"/>
      <c r="F37" s="44"/>
      <c r="G37" s="44"/>
      <c r="H37" s="44"/>
      <c r="I37" s="44"/>
      <c r="J37" s="44"/>
      <c r="K37" s="44"/>
      <c r="L37" s="44"/>
      <c r="M37" s="44"/>
      <c r="N37" s="24"/>
      <c r="O37" s="24"/>
      <c r="P37" s="24"/>
      <c r="Q37" s="24"/>
      <c r="R37" s="24"/>
      <c r="S37" s="24"/>
      <c r="T37" s="24"/>
      <c r="U37" s="24"/>
      <c r="V37" s="24"/>
      <c r="W37" s="24"/>
    </row>
    <row r="38" spans="1:23" ht="15.75" customHeight="1" x14ac:dyDescent="0.25">
      <c r="A38" s="25"/>
      <c r="B38" s="24"/>
      <c r="C38" s="24"/>
      <c r="D38" s="24"/>
      <c r="E38" s="24"/>
      <c r="F38" s="24"/>
      <c r="G38" s="24"/>
      <c r="H38" s="24"/>
      <c r="I38" s="24"/>
      <c r="J38" s="24"/>
      <c r="K38" s="24"/>
      <c r="L38" s="24"/>
      <c r="M38" s="24"/>
      <c r="N38" s="24"/>
      <c r="O38" s="24"/>
      <c r="P38" s="24"/>
      <c r="Q38" s="24"/>
      <c r="R38" s="24"/>
      <c r="S38" s="24"/>
      <c r="T38" s="24"/>
      <c r="U38" s="24"/>
      <c r="V38" s="24"/>
      <c r="W38" s="24"/>
    </row>
    <row r="39" spans="1:23" ht="15.75" customHeight="1" x14ac:dyDescent="0.25">
      <c r="A39" s="25"/>
      <c r="B39" s="24"/>
      <c r="C39" s="24"/>
      <c r="D39" s="24"/>
      <c r="E39" s="24"/>
      <c r="F39" s="24"/>
      <c r="G39" s="24"/>
      <c r="H39" s="24"/>
      <c r="I39" s="24"/>
      <c r="J39" s="24"/>
      <c r="K39" s="24"/>
      <c r="L39" s="24"/>
      <c r="M39" s="24"/>
      <c r="N39" s="44"/>
      <c r="O39" s="44"/>
      <c r="P39" s="44"/>
      <c r="Q39" s="44"/>
      <c r="R39" s="44"/>
      <c r="S39" s="44"/>
      <c r="T39" s="44"/>
      <c r="U39" s="44"/>
      <c r="V39" s="44"/>
      <c r="W39" s="44"/>
    </row>
  </sheetData>
  <mergeCells count="2">
    <mergeCell ref="B1:M1"/>
    <mergeCell ref="O7:S1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7"/>
  <sheetViews>
    <sheetView workbookViewId="0"/>
  </sheetViews>
  <sheetFormatPr defaultColWidth="17.25" defaultRowHeight="15" customHeight="1" x14ac:dyDescent="0.2"/>
  <cols>
    <col min="1" max="2" width="9.25" customWidth="1"/>
    <col min="3" max="3" width="13" customWidth="1"/>
    <col min="4" max="4" width="12.875" customWidth="1"/>
    <col min="5" max="9" width="9.25" customWidth="1"/>
    <col min="10" max="31" width="10.75" customWidth="1"/>
  </cols>
  <sheetData>
    <row r="1" spans="1:31" ht="38.25" customHeight="1" x14ac:dyDescent="0.2">
      <c r="A1" s="139" t="s">
        <v>78</v>
      </c>
      <c r="B1" s="139" t="s">
        <v>205</v>
      </c>
      <c r="C1" s="139" t="s">
        <v>207</v>
      </c>
      <c r="D1" s="139" t="s">
        <v>208</v>
      </c>
      <c r="E1" s="141" t="s">
        <v>209</v>
      </c>
      <c r="F1" s="141" t="s">
        <v>213</v>
      </c>
      <c r="G1" s="141" t="s">
        <v>214</v>
      </c>
      <c r="H1" s="141" t="s">
        <v>215</v>
      </c>
      <c r="I1" s="141" t="s">
        <v>216</v>
      </c>
      <c r="J1" s="141" t="s">
        <v>217</v>
      </c>
      <c r="K1" s="141" t="s">
        <v>219</v>
      </c>
      <c r="L1" s="141" t="s">
        <v>220</v>
      </c>
      <c r="M1" s="143" t="s">
        <v>221</v>
      </c>
      <c r="N1" s="143" t="s">
        <v>224</v>
      </c>
      <c r="O1" s="143" t="s">
        <v>214</v>
      </c>
      <c r="P1" s="143" t="s">
        <v>226</v>
      </c>
      <c r="Q1" s="143" t="s">
        <v>227</v>
      </c>
      <c r="R1" s="143" t="s">
        <v>228</v>
      </c>
      <c r="S1" s="143" t="s">
        <v>219</v>
      </c>
      <c r="T1" s="143" t="s">
        <v>220</v>
      </c>
      <c r="U1" s="144" t="s">
        <v>229</v>
      </c>
      <c r="V1" s="144" t="s">
        <v>224</v>
      </c>
      <c r="W1" s="144" t="s">
        <v>214</v>
      </c>
      <c r="X1" s="144" t="s">
        <v>226</v>
      </c>
      <c r="Y1" s="144" t="s">
        <v>216</v>
      </c>
      <c r="Z1" s="144" t="s">
        <v>228</v>
      </c>
      <c r="AA1" s="144" t="s">
        <v>219</v>
      </c>
      <c r="AB1" s="144" t="s">
        <v>220</v>
      </c>
      <c r="AC1" s="139"/>
      <c r="AD1" s="139"/>
      <c r="AE1" s="139"/>
    </row>
    <row r="2" spans="1:31" ht="15.75" customHeight="1" x14ac:dyDescent="0.2">
      <c r="A2" s="145">
        <v>2014</v>
      </c>
      <c r="B2" s="147">
        <v>1090.9000000000001</v>
      </c>
      <c r="C2" s="147">
        <v>0.72399999999999998</v>
      </c>
      <c r="D2" s="147">
        <v>0.27600000000000002</v>
      </c>
      <c r="E2" s="171">
        <v>726</v>
      </c>
      <c r="F2" s="172">
        <v>529.5</v>
      </c>
      <c r="G2" s="172">
        <v>1255.5</v>
      </c>
      <c r="H2" s="172">
        <v>172.9</v>
      </c>
      <c r="I2" s="172">
        <v>1428.4</v>
      </c>
      <c r="J2" s="174"/>
      <c r="K2" s="174"/>
      <c r="L2" s="172">
        <v>288.7</v>
      </c>
      <c r="M2" s="175">
        <v>389.2</v>
      </c>
      <c r="N2" s="176">
        <v>360.8</v>
      </c>
      <c r="O2" s="175">
        <v>750</v>
      </c>
      <c r="P2" s="175">
        <v>75.3</v>
      </c>
      <c r="Q2" s="176">
        <v>1575.3</v>
      </c>
      <c r="R2" s="175">
        <v>166.3</v>
      </c>
      <c r="S2" s="175">
        <v>7.9</v>
      </c>
      <c r="T2" s="175">
        <v>174.2</v>
      </c>
      <c r="U2" s="177">
        <v>336.8</v>
      </c>
      <c r="V2" s="230">
        <v>191.8</v>
      </c>
      <c r="W2" s="231">
        <v>528.6</v>
      </c>
      <c r="X2" s="231">
        <v>57.9</v>
      </c>
      <c r="Y2" s="230">
        <v>586.5</v>
      </c>
      <c r="Z2" s="231">
        <v>111</v>
      </c>
      <c r="AA2" s="231">
        <v>3.5</v>
      </c>
      <c r="AB2" s="231">
        <v>114.5</v>
      </c>
      <c r="AD2" s="234"/>
      <c r="AE2" s="234"/>
    </row>
    <row r="3" spans="1:31" ht="15.75" customHeight="1" x14ac:dyDescent="0.25">
      <c r="A3" s="260">
        <v>2013</v>
      </c>
      <c r="B3" s="25">
        <v>1154.9000000000001</v>
      </c>
      <c r="C3" s="267">
        <f t="shared" ref="C3:C7" si="0">E3/B3</f>
        <v>0.67815395272317947</v>
      </c>
      <c r="D3" s="267">
        <f t="shared" ref="D3:D7" si="1">L3/B3</f>
        <v>0.26391895402199322</v>
      </c>
      <c r="E3" s="272">
        <v>783.2</v>
      </c>
      <c r="F3" s="272">
        <v>463.69999999999993</v>
      </c>
      <c r="G3" s="272">
        <v>1246.9000000000001</v>
      </c>
      <c r="H3" s="272">
        <v>160.9</v>
      </c>
      <c r="I3" s="272">
        <v>1407.8000000000002</v>
      </c>
      <c r="J3" s="272">
        <v>295.5</v>
      </c>
      <c r="K3" s="272"/>
      <c r="L3" s="272">
        <v>304.8</v>
      </c>
      <c r="M3" s="274">
        <v>441.6</v>
      </c>
      <c r="N3" s="276">
        <f t="shared" ref="N3:N5" si="2">O3-M3</f>
        <v>275.89999999999998</v>
      </c>
      <c r="O3" s="274">
        <v>717.5</v>
      </c>
      <c r="P3" s="281">
        <v>78.400000000000006</v>
      </c>
      <c r="Q3" s="276">
        <f t="shared" ref="Q3:Q5" si="3">SUM(M3:P3)</f>
        <v>1513.4</v>
      </c>
      <c r="R3" s="274">
        <v>172.7</v>
      </c>
      <c r="S3" s="274">
        <v>5.7000000000000171</v>
      </c>
      <c r="T3" s="274">
        <v>178.4</v>
      </c>
      <c r="U3" s="283">
        <v>341.6</v>
      </c>
      <c r="V3" s="284">
        <f>W3-U3</f>
        <v>187.79999999999995</v>
      </c>
      <c r="W3" s="283">
        <v>529.4</v>
      </c>
      <c r="X3" s="286">
        <v>67.7</v>
      </c>
      <c r="Y3" s="287">
        <f t="shared" ref="Y3:Y7" si="4">SUM(W3:X3)</f>
        <v>597.1</v>
      </c>
      <c r="Z3" s="283">
        <v>122.8</v>
      </c>
      <c r="AA3" s="283">
        <v>3.6000000000000085</v>
      </c>
      <c r="AB3" s="283">
        <v>126.4</v>
      </c>
      <c r="AC3" s="234"/>
      <c r="AD3" s="234"/>
      <c r="AE3" s="234"/>
    </row>
    <row r="4" spans="1:31" ht="15.75" customHeight="1" x14ac:dyDescent="0.25">
      <c r="A4" s="260">
        <v>2012</v>
      </c>
      <c r="B4" s="25">
        <v>1162.3</v>
      </c>
      <c r="C4" s="267">
        <f t="shared" si="0"/>
        <v>0.74111675126903553</v>
      </c>
      <c r="D4" s="267">
        <f t="shared" si="1"/>
        <v>0.28030628925406526</v>
      </c>
      <c r="E4" s="272">
        <v>861.4</v>
      </c>
      <c r="F4" s="272">
        <v>507.80000000000007</v>
      </c>
      <c r="G4" s="272">
        <v>1369.2</v>
      </c>
      <c r="H4" s="272">
        <v>167.7</v>
      </c>
      <c r="I4" s="272">
        <v>1536.8999999999999</v>
      </c>
      <c r="J4" s="272"/>
      <c r="K4" s="272"/>
      <c r="L4" s="272">
        <v>325.8</v>
      </c>
      <c r="M4" s="274">
        <v>488</v>
      </c>
      <c r="N4" s="309">
        <f t="shared" si="2"/>
        <v>318</v>
      </c>
      <c r="O4" s="309">
        <v>806</v>
      </c>
      <c r="P4" s="274">
        <v>94.1</v>
      </c>
      <c r="Q4" s="276">
        <f t="shared" si="3"/>
        <v>1706.1</v>
      </c>
      <c r="R4" s="274">
        <v>185.6</v>
      </c>
      <c r="S4" s="274">
        <v>5.7000000000000171</v>
      </c>
      <c r="T4" s="274">
        <v>191.3</v>
      </c>
      <c r="U4" s="283">
        <v>373.4</v>
      </c>
      <c r="V4" s="284">
        <v>189.80000000000007</v>
      </c>
      <c r="W4" s="283">
        <v>563.20000000000005</v>
      </c>
      <c r="X4" s="283">
        <v>73.599999999999994</v>
      </c>
      <c r="Y4" s="287">
        <f t="shared" si="4"/>
        <v>636.80000000000007</v>
      </c>
      <c r="Z4" s="283">
        <v>130.9</v>
      </c>
      <c r="AA4" s="283">
        <v>3.5999999999999943</v>
      </c>
      <c r="AB4" s="283">
        <v>134.5</v>
      </c>
      <c r="AC4" s="234"/>
      <c r="AD4" s="234"/>
      <c r="AE4" s="234"/>
    </row>
    <row r="5" spans="1:31" ht="15.75" customHeight="1" x14ac:dyDescent="0.25">
      <c r="A5" s="260">
        <v>2011</v>
      </c>
      <c r="B5" s="25">
        <v>1160</v>
      </c>
      <c r="C5" s="267">
        <f t="shared" si="0"/>
        <v>0.72336206896551725</v>
      </c>
      <c r="D5" s="267">
        <f t="shared" si="1"/>
        <v>0.29043103448275859</v>
      </c>
      <c r="E5" s="272">
        <v>839.1</v>
      </c>
      <c r="F5" s="272">
        <v>499.69999999999993</v>
      </c>
      <c r="G5" s="272">
        <v>1338.8</v>
      </c>
      <c r="H5" s="272">
        <v>159.5</v>
      </c>
      <c r="I5" s="272">
        <v>1498.3</v>
      </c>
      <c r="J5" s="272"/>
      <c r="K5" s="272"/>
      <c r="L5" s="272">
        <v>336.9</v>
      </c>
      <c r="M5" s="274">
        <v>464</v>
      </c>
      <c r="N5" s="276">
        <f t="shared" si="2"/>
        <v>314</v>
      </c>
      <c r="O5" s="274">
        <v>778</v>
      </c>
      <c r="P5" s="274">
        <v>90.8</v>
      </c>
      <c r="Q5" s="276">
        <f t="shared" si="3"/>
        <v>1646.8</v>
      </c>
      <c r="R5" s="274">
        <v>190.9</v>
      </c>
      <c r="S5" s="274">
        <v>5.6999999999999886</v>
      </c>
      <c r="T5" s="274">
        <v>196.6</v>
      </c>
      <c r="U5" s="283">
        <v>375.1</v>
      </c>
      <c r="V5" s="284">
        <v>185.69999999999993</v>
      </c>
      <c r="W5" s="283">
        <v>560.79999999999995</v>
      </c>
      <c r="X5" s="283">
        <v>68.7</v>
      </c>
      <c r="Y5" s="287">
        <f t="shared" si="4"/>
        <v>629.5</v>
      </c>
      <c r="Z5" s="283">
        <v>136.4</v>
      </c>
      <c r="AA5" s="283">
        <v>3.9000000000000057</v>
      </c>
      <c r="AB5" s="283">
        <v>140.30000000000001</v>
      </c>
      <c r="AC5" s="234"/>
      <c r="AD5" s="234"/>
      <c r="AE5" s="234"/>
    </row>
    <row r="6" spans="1:31" ht="15.75" customHeight="1" x14ac:dyDescent="0.25">
      <c r="A6" s="260">
        <v>2010</v>
      </c>
      <c r="B6" s="25">
        <v>1143</v>
      </c>
      <c r="C6" s="267">
        <f t="shared" si="0"/>
        <v>0.73543307086614162</v>
      </c>
      <c r="D6" s="267">
        <f t="shared" si="1"/>
        <v>0.31907261592300962</v>
      </c>
      <c r="E6" s="272">
        <v>840.59999999999991</v>
      </c>
      <c r="F6" s="272">
        <v>418</v>
      </c>
      <c r="G6" s="272">
        <v>1258.5999999999999</v>
      </c>
      <c r="H6" s="272">
        <v>166.7</v>
      </c>
      <c r="I6" s="272">
        <v>1425.3</v>
      </c>
      <c r="J6" s="272"/>
      <c r="K6" s="272"/>
      <c r="L6" s="272">
        <v>364.7</v>
      </c>
      <c r="M6" s="274"/>
      <c r="N6" s="274"/>
      <c r="O6" s="274">
        <v>720.3</v>
      </c>
      <c r="P6" s="274">
        <v>98.3</v>
      </c>
      <c r="Q6" s="276">
        <f t="shared" ref="Q6:Q7" si="5">SUM(O6:P6)</f>
        <v>818.59999999999991</v>
      </c>
      <c r="R6" s="274"/>
      <c r="S6" s="274"/>
      <c r="T6" s="274">
        <v>219.6</v>
      </c>
      <c r="U6" s="283"/>
      <c r="V6" s="317">
        <v>183.53843632318581</v>
      </c>
      <c r="W6" s="283">
        <v>538.29999999999995</v>
      </c>
      <c r="X6" s="283">
        <v>68.400000000000006</v>
      </c>
      <c r="Y6" s="287">
        <f t="shared" si="4"/>
        <v>606.69999999999993</v>
      </c>
      <c r="Z6" s="283"/>
      <c r="AA6" s="283"/>
      <c r="AB6" s="283">
        <v>145.1</v>
      </c>
      <c r="AC6" s="234"/>
      <c r="AD6" s="234"/>
      <c r="AE6" s="234"/>
    </row>
    <row r="7" spans="1:31" ht="15.75" customHeight="1" x14ac:dyDescent="0.25">
      <c r="A7" s="260">
        <v>2008</v>
      </c>
      <c r="B7" s="25">
        <v>1096</v>
      </c>
      <c r="C7" s="267">
        <f t="shared" si="0"/>
        <v>0.75437956204379553</v>
      </c>
      <c r="D7" s="267">
        <f t="shared" si="1"/>
        <v>0.36186131386861314</v>
      </c>
      <c r="E7" s="272">
        <v>826.8</v>
      </c>
      <c r="F7" s="272">
        <v>416.5</v>
      </c>
      <c r="G7" s="272">
        <v>1243.3</v>
      </c>
      <c r="H7" s="272">
        <v>142.5</v>
      </c>
      <c r="I7" s="272">
        <v>1385.8</v>
      </c>
      <c r="J7" s="272"/>
      <c r="K7" s="272"/>
      <c r="L7" s="272">
        <v>396.6</v>
      </c>
      <c r="M7" s="274"/>
      <c r="N7" s="274"/>
      <c r="O7" s="274">
        <v>766.4</v>
      </c>
      <c r="P7" s="274">
        <v>86.6</v>
      </c>
      <c r="Q7" s="276">
        <f t="shared" si="5"/>
        <v>853</v>
      </c>
      <c r="R7" s="274"/>
      <c r="S7" s="274"/>
      <c r="T7" s="274">
        <v>234.7</v>
      </c>
      <c r="U7" s="283"/>
      <c r="V7" s="317">
        <v>162.6035301551687</v>
      </c>
      <c r="W7" s="283">
        <v>476.9</v>
      </c>
      <c r="X7" s="283">
        <v>55.9</v>
      </c>
      <c r="Y7" s="287">
        <f t="shared" si="4"/>
        <v>532.79999999999995</v>
      </c>
      <c r="Z7" s="283"/>
      <c r="AA7" s="283"/>
      <c r="AB7" s="283">
        <v>161.9</v>
      </c>
      <c r="AC7" s="234"/>
      <c r="AD7" s="234"/>
      <c r="AE7" s="234"/>
    </row>
    <row r="8" spans="1:31" ht="15.75" customHeight="1" x14ac:dyDescent="0.25">
      <c r="A8" s="260">
        <v>2004</v>
      </c>
      <c r="B8" s="25">
        <v>1053.5</v>
      </c>
      <c r="C8" s="267">
        <v>0.7</v>
      </c>
      <c r="D8" s="267">
        <v>0.3</v>
      </c>
      <c r="E8" s="323">
        <v>737.44999999999993</v>
      </c>
      <c r="F8" s="272">
        <v>369.8</v>
      </c>
      <c r="G8" s="323">
        <v>1149.3900000000001</v>
      </c>
      <c r="H8" s="272">
        <v>123</v>
      </c>
      <c r="I8" s="272">
        <v>1272.3900000000001</v>
      </c>
      <c r="J8" s="272"/>
      <c r="K8" s="272"/>
      <c r="L8" s="323">
        <f t="shared" ref="L8:L14" si="6">B8*D8</f>
        <v>316.05</v>
      </c>
      <c r="M8" s="274"/>
      <c r="N8" s="274"/>
      <c r="O8" s="274"/>
      <c r="P8" s="274">
        <v>75.099999999999994</v>
      </c>
      <c r="Q8" s="274"/>
      <c r="R8" s="274"/>
      <c r="S8" s="274"/>
      <c r="T8" s="274"/>
      <c r="U8" s="283"/>
      <c r="V8" s="283"/>
      <c r="W8" s="283"/>
      <c r="X8" s="283">
        <v>47.9</v>
      </c>
      <c r="Y8" s="283"/>
      <c r="Z8" s="283"/>
      <c r="AA8" s="283"/>
      <c r="AB8" s="234"/>
      <c r="AC8" s="234"/>
      <c r="AD8" s="234"/>
      <c r="AE8" s="234"/>
    </row>
    <row r="9" spans="1:31" ht="15.75" customHeight="1" x14ac:dyDescent="0.25">
      <c r="A9" s="260">
        <v>2000</v>
      </c>
      <c r="B9" s="327">
        <v>934.7</v>
      </c>
      <c r="C9" s="267">
        <v>0.7</v>
      </c>
      <c r="D9" s="267">
        <v>0.3</v>
      </c>
      <c r="E9" s="323">
        <v>654.29</v>
      </c>
      <c r="F9" s="272">
        <v>504.6</v>
      </c>
      <c r="G9" s="323">
        <v>1196.278</v>
      </c>
      <c r="H9" s="272">
        <v>97</v>
      </c>
      <c r="I9" s="329">
        <v>1293.278</v>
      </c>
      <c r="J9" s="272"/>
      <c r="K9" s="272"/>
      <c r="L9" s="323">
        <f t="shared" si="6"/>
        <v>280.41000000000003</v>
      </c>
      <c r="M9" s="274"/>
      <c r="N9" s="274"/>
      <c r="O9" s="274"/>
      <c r="P9" s="274"/>
      <c r="Q9" s="274"/>
      <c r="R9" s="274"/>
      <c r="S9" s="274"/>
      <c r="T9" s="274"/>
      <c r="U9" s="283"/>
      <c r="V9" s="283"/>
      <c r="W9" s="283"/>
      <c r="X9" s="283"/>
      <c r="Y9" s="283"/>
      <c r="Z9" s="283"/>
      <c r="AA9" s="283"/>
      <c r="AB9" s="234"/>
      <c r="AC9" s="234"/>
      <c r="AD9" s="234"/>
      <c r="AE9" s="234"/>
    </row>
    <row r="10" spans="1:31" ht="15.75" customHeight="1" x14ac:dyDescent="0.25">
      <c r="A10" s="260">
        <v>1996</v>
      </c>
      <c r="B10" s="25">
        <v>963.3</v>
      </c>
      <c r="C10" s="267">
        <v>0.7</v>
      </c>
      <c r="D10" s="267">
        <v>0.3</v>
      </c>
      <c r="E10" s="323">
        <v>674.31</v>
      </c>
      <c r="F10" s="272">
        <v>385.50000000000006</v>
      </c>
      <c r="G10" s="323">
        <v>1098.3420000000001</v>
      </c>
      <c r="H10" s="332">
        <v>56.6</v>
      </c>
      <c r="I10" s="329">
        <v>1154.942</v>
      </c>
      <c r="J10" s="272"/>
      <c r="K10" s="272"/>
      <c r="L10" s="323">
        <f t="shared" si="6"/>
        <v>288.98999999999995</v>
      </c>
      <c r="M10" s="274"/>
      <c r="N10" s="274"/>
      <c r="O10" s="274"/>
      <c r="P10" s="274"/>
      <c r="Q10" s="274"/>
      <c r="R10" s="274"/>
      <c r="S10" s="274"/>
      <c r="T10" s="274"/>
      <c r="U10" s="283"/>
      <c r="V10" s="283"/>
      <c r="W10" s="283"/>
      <c r="X10" s="283"/>
      <c r="Y10" s="283"/>
      <c r="Z10" s="283"/>
      <c r="AA10" s="283"/>
      <c r="AB10" s="234"/>
      <c r="AC10" s="234"/>
      <c r="AD10" s="234"/>
      <c r="AE10" s="234"/>
    </row>
    <row r="11" spans="1:31" ht="15.75" customHeight="1" x14ac:dyDescent="0.25">
      <c r="A11" s="260">
        <v>1992</v>
      </c>
      <c r="B11" s="25">
        <v>900.6</v>
      </c>
      <c r="C11" s="267">
        <v>0.7</v>
      </c>
      <c r="D11" s="267">
        <v>0.3</v>
      </c>
      <c r="E11" s="323">
        <v>630.41999999999996</v>
      </c>
      <c r="F11" s="272">
        <v>398.20000000000005</v>
      </c>
      <c r="G11" s="323">
        <v>1064.644</v>
      </c>
      <c r="H11" s="332">
        <v>29.6</v>
      </c>
      <c r="I11" s="329">
        <v>1094.2439999999999</v>
      </c>
      <c r="J11" s="272"/>
      <c r="K11" s="272"/>
      <c r="L11" s="323">
        <f t="shared" si="6"/>
        <v>270.18</v>
      </c>
      <c r="M11" s="274"/>
      <c r="N11" s="274"/>
      <c r="O11" s="274"/>
      <c r="P11" s="274"/>
      <c r="Q11" s="274"/>
      <c r="R11" s="274"/>
      <c r="S11" s="274"/>
      <c r="T11" s="274"/>
      <c r="U11" s="283"/>
      <c r="V11" s="283"/>
      <c r="W11" s="283"/>
      <c r="X11" s="283"/>
      <c r="Y11" s="283"/>
      <c r="Z11" s="283"/>
      <c r="AA11" s="283"/>
      <c r="AB11" s="234"/>
      <c r="AC11" s="234"/>
      <c r="AD11" s="234"/>
      <c r="AE11" s="234"/>
    </row>
    <row r="12" spans="1:31" ht="15.75" customHeight="1" x14ac:dyDescent="0.25">
      <c r="A12" s="260">
        <v>1990</v>
      </c>
      <c r="B12" s="25">
        <v>896.3</v>
      </c>
      <c r="C12" s="267">
        <v>0.7</v>
      </c>
      <c r="D12" s="267">
        <v>0.3</v>
      </c>
      <c r="E12" s="323">
        <v>627.41</v>
      </c>
      <c r="F12" s="272">
        <v>410.9</v>
      </c>
      <c r="G12" s="323">
        <v>1074.1619999999998</v>
      </c>
      <c r="H12" s="332">
        <v>15</v>
      </c>
      <c r="I12" s="329">
        <v>1089.1619999999998</v>
      </c>
      <c r="J12" s="272"/>
      <c r="K12" s="272"/>
      <c r="L12" s="323">
        <f t="shared" si="6"/>
        <v>268.89</v>
      </c>
      <c r="M12" s="274"/>
      <c r="N12" s="274"/>
      <c r="O12" s="274"/>
      <c r="P12" s="274"/>
      <c r="Q12" s="274"/>
      <c r="R12" s="274"/>
      <c r="S12" s="274"/>
      <c r="T12" s="274"/>
      <c r="U12" s="283"/>
      <c r="V12" s="283"/>
      <c r="W12" s="283"/>
      <c r="X12" s="283"/>
      <c r="Y12" s="283"/>
      <c r="Z12" s="283"/>
      <c r="AA12" s="283"/>
      <c r="AB12" s="234"/>
      <c r="AC12" s="234"/>
      <c r="AD12" s="234"/>
      <c r="AE12" s="234"/>
    </row>
    <row r="13" spans="1:31" ht="15.75" customHeight="1" x14ac:dyDescent="0.25">
      <c r="A13" s="260" t="s">
        <v>557</v>
      </c>
      <c r="B13" s="25">
        <v>919.9</v>
      </c>
      <c r="C13" s="267">
        <v>0.7</v>
      </c>
      <c r="D13" s="267">
        <v>0.3</v>
      </c>
      <c r="E13" s="323">
        <v>643.92999999999995</v>
      </c>
      <c r="F13" s="272">
        <v>338.4</v>
      </c>
      <c r="G13" s="323">
        <v>1019.126</v>
      </c>
      <c r="H13" s="272"/>
      <c r="I13" s="329">
        <v>1019.126</v>
      </c>
      <c r="J13" s="272"/>
      <c r="K13" s="272"/>
      <c r="L13" s="323">
        <f t="shared" si="6"/>
        <v>275.96999999999997</v>
      </c>
      <c r="M13" s="274"/>
      <c r="N13" s="274"/>
      <c r="O13" s="274"/>
      <c r="P13" s="274"/>
      <c r="Q13" s="274"/>
      <c r="R13" s="274"/>
      <c r="S13" s="274"/>
      <c r="T13" s="274"/>
      <c r="U13" s="283"/>
      <c r="V13" s="283"/>
      <c r="W13" s="283"/>
      <c r="X13" s="283"/>
      <c r="Y13" s="283"/>
      <c r="Z13" s="283"/>
      <c r="AA13" s="283"/>
      <c r="AB13" s="234"/>
      <c r="AC13" s="234"/>
      <c r="AD13" s="234"/>
      <c r="AE13" s="234"/>
    </row>
    <row r="14" spans="1:31" ht="15.75" customHeight="1" x14ac:dyDescent="0.25">
      <c r="A14" s="260" t="s">
        <v>558</v>
      </c>
      <c r="B14" s="25">
        <v>837.3</v>
      </c>
      <c r="C14" s="267">
        <v>0.7</v>
      </c>
      <c r="D14" s="267">
        <v>0.3</v>
      </c>
      <c r="E14" s="323">
        <v>586.1099999999999</v>
      </c>
      <c r="F14" s="272">
        <v>224.8</v>
      </c>
      <c r="G14" s="323">
        <v>844.40200000000004</v>
      </c>
      <c r="H14" s="272"/>
      <c r="I14" s="329">
        <v>844.40200000000004</v>
      </c>
      <c r="J14" s="272"/>
      <c r="K14" s="272"/>
      <c r="L14" s="323">
        <f t="shared" si="6"/>
        <v>251.18999999999997</v>
      </c>
      <c r="M14" s="274"/>
      <c r="N14" s="274"/>
      <c r="O14" s="274"/>
      <c r="P14" s="274"/>
      <c r="Q14" s="274"/>
      <c r="R14" s="274"/>
      <c r="S14" s="274"/>
      <c r="T14" s="274"/>
      <c r="U14" s="283"/>
      <c r="V14" s="283"/>
      <c r="W14" s="283"/>
      <c r="X14" s="283"/>
      <c r="Y14" s="283"/>
      <c r="Z14" s="283"/>
      <c r="AA14" s="283"/>
      <c r="AB14" s="234"/>
      <c r="AC14" s="234"/>
      <c r="AD14" s="234"/>
      <c r="AE14" s="234"/>
    </row>
    <row r="15" spans="1:31" ht="12.75" customHeight="1" x14ac:dyDescent="0.2">
      <c r="A15" s="234"/>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337"/>
    </row>
    <row r="16" spans="1:31" ht="12.75" customHeight="1" x14ac:dyDescent="0.2">
      <c r="A16" s="643" t="s">
        <v>561</v>
      </c>
      <c r="B16" s="623"/>
      <c r="C16" s="623"/>
      <c r="D16" s="623"/>
      <c r="E16" s="623"/>
      <c r="F16" s="623"/>
      <c r="G16" s="623"/>
      <c r="H16" s="623"/>
      <c r="I16" s="623"/>
      <c r="J16" s="623"/>
      <c r="K16" s="623"/>
      <c r="L16" s="234"/>
      <c r="M16" s="234"/>
      <c r="N16" s="234"/>
      <c r="O16" s="234"/>
      <c r="P16" s="234"/>
      <c r="Q16" s="626" t="s">
        <v>8</v>
      </c>
      <c r="R16" s="623"/>
      <c r="S16" s="623"/>
      <c r="T16" s="623"/>
      <c r="U16" s="623"/>
      <c r="V16" s="623"/>
      <c r="W16" s="234"/>
      <c r="X16" s="234"/>
      <c r="Y16" s="234"/>
      <c r="Z16" s="234"/>
      <c r="AA16" s="234"/>
      <c r="AB16" s="234"/>
      <c r="AC16" s="234"/>
      <c r="AD16" s="234"/>
      <c r="AE16" s="337"/>
    </row>
    <row r="17" spans="1:31" ht="12.75" customHeight="1" x14ac:dyDescent="0.2">
      <c r="A17" s="643" t="s">
        <v>562</v>
      </c>
      <c r="B17" s="623"/>
      <c r="C17" s="623"/>
      <c r="D17" s="623"/>
      <c r="E17" s="623"/>
      <c r="F17" s="623"/>
      <c r="G17" s="623"/>
      <c r="H17" s="623"/>
      <c r="I17" s="623"/>
      <c r="J17" s="623"/>
      <c r="K17" s="623"/>
      <c r="L17" s="234"/>
      <c r="M17" s="234"/>
      <c r="N17" s="234"/>
      <c r="O17" s="234"/>
      <c r="P17" s="234"/>
      <c r="Q17" s="623"/>
      <c r="R17" s="623"/>
      <c r="S17" s="623"/>
      <c r="T17" s="623"/>
      <c r="U17" s="623"/>
      <c r="V17" s="623"/>
      <c r="W17" s="234"/>
      <c r="X17" s="234"/>
      <c r="Y17" s="234"/>
      <c r="Z17" s="234"/>
      <c r="AA17" s="234"/>
      <c r="AB17" s="234"/>
      <c r="AC17" s="234"/>
      <c r="AD17" s="234"/>
      <c r="AE17" s="337"/>
    </row>
    <row r="18" spans="1:31" ht="12.75" customHeight="1" x14ac:dyDescent="0.2">
      <c r="A18" s="643" t="s">
        <v>564</v>
      </c>
      <c r="B18" s="623"/>
      <c r="C18" s="623"/>
      <c r="D18" s="623"/>
      <c r="E18" s="623"/>
      <c r="F18" s="623"/>
      <c r="G18" s="623"/>
      <c r="H18" s="623"/>
      <c r="I18" s="623"/>
      <c r="J18" s="623"/>
      <c r="K18" s="623"/>
      <c r="L18" s="234"/>
      <c r="M18" s="234"/>
      <c r="N18" s="234"/>
      <c r="O18" s="234"/>
      <c r="P18" s="234"/>
      <c r="Q18" s="623"/>
      <c r="R18" s="623"/>
      <c r="S18" s="623"/>
      <c r="T18" s="623"/>
      <c r="U18" s="623"/>
      <c r="V18" s="623"/>
      <c r="W18" s="234"/>
      <c r="X18" s="234"/>
      <c r="Y18" s="234"/>
      <c r="Z18" s="234"/>
      <c r="AA18" s="234"/>
      <c r="AB18" s="234"/>
      <c r="AC18" s="234"/>
      <c r="AD18" s="234"/>
      <c r="AE18" s="337"/>
    </row>
    <row r="19" spans="1:31" ht="12.75" customHeight="1" x14ac:dyDescent="0.2">
      <c r="A19" s="643" t="s">
        <v>565</v>
      </c>
      <c r="B19" s="623"/>
      <c r="C19" s="623"/>
      <c r="D19" s="623"/>
      <c r="E19" s="623"/>
      <c r="F19" s="623"/>
      <c r="G19" s="623"/>
      <c r="H19" s="623"/>
      <c r="I19" s="623"/>
      <c r="J19" s="623"/>
      <c r="K19" s="623"/>
      <c r="L19" s="234"/>
      <c r="M19" s="234"/>
      <c r="N19" s="234"/>
      <c r="O19" s="234"/>
      <c r="P19" s="234"/>
      <c r="Q19" s="234"/>
      <c r="R19" s="234"/>
      <c r="S19" s="234"/>
      <c r="T19" s="234"/>
      <c r="U19" s="234"/>
      <c r="V19" s="234"/>
      <c r="W19" s="234"/>
      <c r="X19" s="234"/>
      <c r="Y19" s="234"/>
      <c r="Z19" s="234"/>
      <c r="AA19" s="234"/>
      <c r="AB19" s="234"/>
      <c r="AC19" s="234"/>
      <c r="AD19" s="234"/>
      <c r="AE19" s="337"/>
    </row>
    <row r="20" spans="1:31" ht="12.75" customHeight="1" x14ac:dyDescent="0.2">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337"/>
      <c r="Y20" s="337"/>
      <c r="Z20" s="337"/>
      <c r="AA20" s="337"/>
      <c r="AB20" s="337"/>
      <c r="AC20" s="337"/>
      <c r="AD20" s="337"/>
      <c r="AE20" s="337"/>
    </row>
    <row r="21" spans="1:31" ht="12.75" customHeight="1" x14ac:dyDescent="0.2">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row>
    <row r="22" spans="1:31" ht="12.75" customHeight="1" x14ac:dyDescent="0.2">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row>
    <row r="23" spans="1:31" ht="12.75" customHeight="1" x14ac:dyDescent="0.2">
      <c r="A23" s="234"/>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row>
    <row r="24" spans="1:31" ht="12.75" customHeight="1" x14ac:dyDescent="0.2">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row>
    <row r="25" spans="1:31" ht="12.75" customHeight="1" x14ac:dyDescent="0.2">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row>
    <row r="26" spans="1:31" ht="12.75" customHeight="1" x14ac:dyDescent="0.2">
      <c r="A26" s="234"/>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row>
    <row r="27" spans="1:31" ht="12.75" customHeight="1" x14ac:dyDescent="0.2">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row>
  </sheetData>
  <mergeCells count="5">
    <mergeCell ref="A18:K18"/>
    <mergeCell ref="A19:K19"/>
    <mergeCell ref="A17:K17"/>
    <mergeCell ref="A16:K16"/>
    <mergeCell ref="Q16:V18"/>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33.625" customWidth="1"/>
    <col min="2" max="2" width="9.375" customWidth="1"/>
    <col min="3" max="3" width="15.625" customWidth="1"/>
    <col min="4" max="5" width="9.375" customWidth="1"/>
    <col min="6" max="6" width="13.875" customWidth="1"/>
    <col min="7" max="7" width="9.375" customWidth="1"/>
    <col min="8" max="8" width="14.625" customWidth="1"/>
    <col min="9" max="9" width="9.125" customWidth="1"/>
    <col min="10" max="10" width="10.75" customWidth="1"/>
    <col min="11" max="20" width="9.375" customWidth="1"/>
  </cols>
  <sheetData>
    <row r="1" spans="1:20" ht="18" customHeight="1" x14ac:dyDescent="0.25">
      <c r="A1" s="60"/>
      <c r="B1" s="627" t="s">
        <v>83</v>
      </c>
      <c r="C1" s="623"/>
      <c r="D1" s="623"/>
      <c r="E1" s="623"/>
      <c r="F1" s="623"/>
      <c r="G1" s="623"/>
      <c r="H1" s="623"/>
      <c r="I1" s="623"/>
      <c r="J1" s="623"/>
      <c r="K1" s="623"/>
      <c r="L1" s="623"/>
      <c r="M1" s="623"/>
      <c r="N1" s="79"/>
      <c r="O1" s="79"/>
      <c r="P1" s="79"/>
      <c r="Q1" s="79"/>
      <c r="R1" s="79"/>
      <c r="S1" s="79"/>
      <c r="T1" s="79"/>
    </row>
    <row r="2" spans="1:20" ht="15.75" customHeight="1" x14ac:dyDescent="0.25">
      <c r="A2" s="3"/>
      <c r="B2" s="4">
        <v>1984</v>
      </c>
      <c r="C2" s="4">
        <v>1988</v>
      </c>
      <c r="D2" s="4">
        <v>1992</v>
      </c>
      <c r="E2" s="4">
        <v>1996</v>
      </c>
      <c r="F2" s="4">
        <v>2000</v>
      </c>
      <c r="G2" s="4">
        <v>2004</v>
      </c>
      <c r="H2" s="4">
        <v>2008</v>
      </c>
      <c r="I2" s="4">
        <v>2010</v>
      </c>
      <c r="J2" s="4">
        <v>2011</v>
      </c>
      <c r="K2" s="4">
        <v>2012</v>
      </c>
      <c r="L2" s="4">
        <v>2013</v>
      </c>
      <c r="M2" s="12">
        <v>2014</v>
      </c>
      <c r="N2" s="83"/>
      <c r="O2" s="83"/>
      <c r="P2" s="83"/>
      <c r="Q2" s="83"/>
      <c r="R2" s="83"/>
      <c r="S2" s="83"/>
      <c r="T2" s="83"/>
    </row>
    <row r="3" spans="1:20" ht="15.75" customHeight="1" x14ac:dyDescent="0.25">
      <c r="A3" s="5" t="s">
        <v>86</v>
      </c>
      <c r="B3" s="81">
        <v>315.47031579968257</v>
      </c>
      <c r="C3" s="81">
        <v>404.23543413720972</v>
      </c>
      <c r="D3" s="81">
        <v>411.57787618387101</v>
      </c>
      <c r="E3" s="81">
        <v>508.8</v>
      </c>
      <c r="F3" s="81">
        <v>843.1</v>
      </c>
      <c r="G3" s="81">
        <v>930.47047206032653</v>
      </c>
      <c r="H3" s="81">
        <v>983.60047509874869</v>
      </c>
      <c r="I3" s="81">
        <v>1010.0263928403723</v>
      </c>
      <c r="J3" s="81">
        <v>978.59999999999991</v>
      </c>
      <c r="K3" s="81">
        <v>916</v>
      </c>
      <c r="L3" s="81">
        <v>930.47047206032653</v>
      </c>
      <c r="M3" s="84">
        <v>858.1</v>
      </c>
      <c r="N3" s="24"/>
      <c r="O3" s="24"/>
      <c r="P3" s="24"/>
      <c r="Q3" s="24"/>
      <c r="R3" s="24"/>
      <c r="S3" s="24"/>
      <c r="T3" s="24"/>
    </row>
    <row r="4" spans="1:20" ht="15.75" customHeight="1" x14ac:dyDescent="0.25">
      <c r="A4" s="5" t="s">
        <v>90</v>
      </c>
      <c r="B4" s="81">
        <v>150.73050000000001</v>
      </c>
      <c r="C4" s="81">
        <v>169.71525000000003</v>
      </c>
      <c r="D4" s="81">
        <v>188.70000000000002</v>
      </c>
      <c r="E4" s="81">
        <v>233.31799999999998</v>
      </c>
      <c r="F4" s="81">
        <v>850.1</v>
      </c>
      <c r="G4" s="81">
        <v>881.1</v>
      </c>
      <c r="H4" s="81">
        <v>1181.4000000000001</v>
      </c>
      <c r="I4" s="81">
        <v>1034.8</v>
      </c>
      <c r="J4" s="81">
        <v>1018.4</v>
      </c>
      <c r="K4" s="81">
        <v>960</v>
      </c>
      <c r="L4" s="81">
        <v>859.88806396344955</v>
      </c>
      <c r="M4" s="84">
        <v>758.8</v>
      </c>
      <c r="N4" s="24"/>
      <c r="O4" s="24"/>
      <c r="P4" s="24"/>
      <c r="Q4" s="24"/>
      <c r="R4" s="24"/>
      <c r="S4" s="24"/>
      <c r="T4" s="24"/>
    </row>
    <row r="5" spans="1:20" ht="15.75" customHeight="1" x14ac:dyDescent="0.25">
      <c r="A5" s="5" t="s">
        <v>97</v>
      </c>
      <c r="B5" s="81"/>
      <c r="C5" s="81"/>
      <c r="D5" s="81"/>
      <c r="E5" s="81"/>
      <c r="F5" s="81">
        <v>39.197147657725338</v>
      </c>
      <c r="G5" s="81">
        <v>286.2347567497423</v>
      </c>
      <c r="H5" s="81" t="s">
        <v>101</v>
      </c>
      <c r="I5" s="81"/>
      <c r="J5" s="81"/>
      <c r="K5" s="81"/>
      <c r="L5" s="81"/>
      <c r="M5" s="108"/>
      <c r="N5" s="24"/>
      <c r="O5" s="24"/>
      <c r="P5" s="24"/>
      <c r="Q5" s="24"/>
      <c r="R5" s="24"/>
      <c r="S5" s="24"/>
      <c r="T5" s="24"/>
    </row>
    <row r="6" spans="1:20" ht="15.75" customHeight="1" x14ac:dyDescent="0.25">
      <c r="A6" s="5" t="s">
        <v>155</v>
      </c>
      <c r="B6" s="81">
        <v>153.69999999999999</v>
      </c>
      <c r="C6" s="81">
        <v>278.3</v>
      </c>
      <c r="D6" s="81">
        <v>244.2</v>
      </c>
      <c r="E6" s="81">
        <v>333.58905348622278</v>
      </c>
      <c r="F6" s="81" t="s">
        <v>158</v>
      </c>
      <c r="G6" s="81"/>
      <c r="H6" s="81"/>
      <c r="I6" s="81"/>
      <c r="J6" s="81"/>
      <c r="K6" s="81"/>
      <c r="L6" s="81"/>
      <c r="M6" s="108"/>
      <c r="N6" s="24"/>
      <c r="O6" s="626" t="s">
        <v>8</v>
      </c>
      <c r="P6" s="623"/>
      <c r="Q6" s="623"/>
      <c r="R6" s="623"/>
      <c r="S6" s="623"/>
      <c r="T6" s="623"/>
    </row>
    <row r="7" spans="1:20" ht="15.75" customHeight="1" x14ac:dyDescent="0.25">
      <c r="A7" s="5" t="s">
        <v>162</v>
      </c>
      <c r="B7" s="81"/>
      <c r="C7" s="81"/>
      <c r="D7" s="81"/>
      <c r="E7" s="81"/>
      <c r="F7" s="81"/>
      <c r="G7" s="81"/>
      <c r="H7" s="81"/>
      <c r="I7" s="81">
        <v>1052.5</v>
      </c>
      <c r="J7" s="81">
        <v>1019.1</v>
      </c>
      <c r="K7" s="81">
        <v>831.9</v>
      </c>
      <c r="L7" s="81">
        <v>751.6</v>
      </c>
      <c r="M7" s="128">
        <v>674.3</v>
      </c>
      <c r="N7" s="203"/>
      <c r="O7" s="623"/>
      <c r="P7" s="623"/>
      <c r="Q7" s="623"/>
      <c r="R7" s="623"/>
      <c r="S7" s="623"/>
      <c r="T7" s="623"/>
    </row>
    <row r="8" spans="1:20" ht="15.75" customHeight="1" x14ac:dyDescent="0.25">
      <c r="A8" s="5" t="s">
        <v>358</v>
      </c>
      <c r="B8" s="81"/>
      <c r="C8" s="81"/>
      <c r="D8" s="81"/>
      <c r="E8" s="81"/>
      <c r="F8" s="81"/>
      <c r="G8" s="81">
        <v>1193.5999999999999</v>
      </c>
      <c r="H8" s="81">
        <v>1298.0999999999999</v>
      </c>
      <c r="I8" s="81" t="s">
        <v>162</v>
      </c>
      <c r="J8" s="81"/>
      <c r="K8" s="81"/>
      <c r="L8" s="81"/>
      <c r="M8" s="108"/>
      <c r="N8" s="24"/>
      <c r="O8" s="623"/>
      <c r="P8" s="623"/>
      <c r="Q8" s="623"/>
      <c r="R8" s="623"/>
      <c r="S8" s="623"/>
      <c r="T8" s="623"/>
    </row>
    <row r="9" spans="1:20" ht="15.75" customHeight="1" x14ac:dyDescent="0.25">
      <c r="A9" s="5" t="s">
        <v>437</v>
      </c>
      <c r="B9" s="81"/>
      <c r="C9" s="81"/>
      <c r="D9" s="81"/>
      <c r="E9" s="81"/>
      <c r="F9" s="81"/>
      <c r="G9" s="81">
        <v>40.725885102603527</v>
      </c>
      <c r="H9" s="81"/>
      <c r="I9" s="81"/>
      <c r="J9" s="81"/>
      <c r="K9" s="81"/>
      <c r="L9" s="81"/>
      <c r="M9" s="108"/>
      <c r="N9" s="24"/>
      <c r="O9" s="623"/>
      <c r="P9" s="623"/>
      <c r="Q9" s="623"/>
      <c r="R9" s="623"/>
      <c r="S9" s="623"/>
      <c r="T9" s="623"/>
    </row>
    <row r="10" spans="1:20" ht="15.75" customHeight="1" x14ac:dyDescent="0.25">
      <c r="A10" s="5" t="s">
        <v>446</v>
      </c>
      <c r="B10" s="81"/>
      <c r="C10" s="81">
        <v>78.004800000000003</v>
      </c>
      <c r="D10" s="81">
        <v>91.02000000000001</v>
      </c>
      <c r="E10" s="81">
        <v>401</v>
      </c>
      <c r="F10" s="81">
        <v>1065.2</v>
      </c>
      <c r="G10" s="81" t="s">
        <v>386</v>
      </c>
      <c r="H10" s="81"/>
      <c r="I10" s="81"/>
      <c r="J10" s="81"/>
      <c r="K10" s="81"/>
      <c r="L10" s="81"/>
      <c r="M10" s="108"/>
      <c r="N10" s="24"/>
      <c r="O10" s="623"/>
      <c r="P10" s="623"/>
      <c r="Q10" s="623"/>
      <c r="R10" s="623"/>
      <c r="S10" s="623"/>
      <c r="T10" s="623"/>
    </row>
    <row r="11" spans="1:20" ht="15.75" customHeight="1" x14ac:dyDescent="0.25">
      <c r="A11" s="5" t="s">
        <v>451</v>
      </c>
      <c r="B11" s="81">
        <v>548.5</v>
      </c>
      <c r="C11" s="81">
        <v>752.9</v>
      </c>
      <c r="D11" s="81">
        <v>809.5</v>
      </c>
      <c r="E11" s="81">
        <v>928.9</v>
      </c>
      <c r="F11" s="81" t="s">
        <v>385</v>
      </c>
      <c r="G11" s="81"/>
      <c r="H11" s="81"/>
      <c r="I11" s="81"/>
      <c r="J11" s="81"/>
      <c r="K11" s="81"/>
      <c r="L11" s="81"/>
      <c r="M11" s="108"/>
      <c r="N11" s="24"/>
      <c r="O11" s="623"/>
      <c r="P11" s="623"/>
      <c r="Q11" s="623"/>
      <c r="R11" s="623"/>
      <c r="S11" s="623"/>
      <c r="T11" s="623"/>
    </row>
    <row r="12" spans="1:20" ht="15.75" customHeight="1" x14ac:dyDescent="0.25">
      <c r="A12" s="5" t="s">
        <v>456</v>
      </c>
      <c r="B12" s="81">
        <v>127.02000000000001</v>
      </c>
      <c r="C12" s="81">
        <v>169.65</v>
      </c>
      <c r="D12" s="81">
        <v>161.82000000000002</v>
      </c>
      <c r="E12" s="81">
        <v>188.67000000000002</v>
      </c>
      <c r="F12" s="81">
        <v>410.83679999999998</v>
      </c>
      <c r="G12" s="81">
        <v>493.3</v>
      </c>
      <c r="H12" s="81">
        <v>586.60609999999997</v>
      </c>
      <c r="I12" s="81">
        <v>523.96860000000004</v>
      </c>
      <c r="J12" s="81">
        <v>565.32060000000001</v>
      </c>
      <c r="K12" s="81">
        <f>(J12+L12)/2</f>
        <v>466.96030000000002</v>
      </c>
      <c r="L12" s="81">
        <v>368.6</v>
      </c>
      <c r="M12" s="84">
        <v>350.7</v>
      </c>
      <c r="N12" s="24"/>
      <c r="O12" s="623"/>
      <c r="P12" s="623"/>
      <c r="Q12" s="623"/>
      <c r="R12" s="623"/>
      <c r="S12" s="623"/>
      <c r="T12" s="623"/>
    </row>
    <row r="13" spans="1:20" ht="15.75" customHeight="1" x14ac:dyDescent="0.25">
      <c r="A13" s="5" t="s">
        <v>487</v>
      </c>
      <c r="B13" s="81">
        <v>390.61200000000002</v>
      </c>
      <c r="C13" s="81">
        <v>531.39600000000007</v>
      </c>
      <c r="D13" s="81">
        <v>492.15</v>
      </c>
      <c r="E13" s="81">
        <v>369.79100000000005</v>
      </c>
      <c r="F13" s="81">
        <v>142.69999999999999</v>
      </c>
      <c r="G13" s="81"/>
      <c r="H13" s="81"/>
      <c r="I13" s="81"/>
      <c r="J13" s="81">
        <v>396.20759999999996</v>
      </c>
      <c r="K13" s="81">
        <v>323.47909659338211</v>
      </c>
      <c r="L13" s="81">
        <v>272.10000000000002</v>
      </c>
      <c r="M13" s="84">
        <v>246.9</v>
      </c>
      <c r="N13" s="24"/>
      <c r="O13" s="623"/>
      <c r="P13" s="623"/>
      <c r="Q13" s="623"/>
      <c r="R13" s="623"/>
      <c r="S13" s="623"/>
      <c r="T13" s="623"/>
    </row>
    <row r="14" spans="1:20" ht="15.75" customHeight="1" x14ac:dyDescent="0.25">
      <c r="A14" s="5" t="s">
        <v>479</v>
      </c>
      <c r="B14" s="81"/>
      <c r="C14" s="81"/>
      <c r="D14" s="81"/>
      <c r="E14" s="81"/>
      <c r="F14" s="81"/>
      <c r="G14" s="81"/>
      <c r="H14" s="81">
        <v>422.13710000000003</v>
      </c>
      <c r="I14" s="81">
        <v>395.44800000000004</v>
      </c>
      <c r="J14" s="81" t="s">
        <v>408</v>
      </c>
      <c r="K14" s="81"/>
      <c r="L14" s="81"/>
      <c r="M14" s="108"/>
      <c r="N14" s="24"/>
      <c r="O14" s="623"/>
      <c r="P14" s="623"/>
      <c r="Q14" s="623"/>
      <c r="R14" s="623"/>
      <c r="S14" s="623"/>
      <c r="T14" s="623"/>
    </row>
    <row r="15" spans="1:20" ht="15.75" customHeight="1" x14ac:dyDescent="0.25">
      <c r="A15" s="5" t="s">
        <v>486</v>
      </c>
      <c r="B15" s="81"/>
      <c r="C15" s="81"/>
      <c r="D15" s="81"/>
      <c r="E15" s="81"/>
      <c r="F15" s="81">
        <v>308.5</v>
      </c>
      <c r="G15" s="81">
        <v>438.1</v>
      </c>
      <c r="H15" s="81" t="s">
        <v>491</v>
      </c>
      <c r="I15" s="81"/>
      <c r="J15" s="81"/>
      <c r="K15" s="81"/>
      <c r="L15" s="81"/>
      <c r="M15" s="108"/>
      <c r="N15" s="24"/>
      <c r="O15" s="24"/>
      <c r="P15" s="24"/>
      <c r="Q15" s="24"/>
      <c r="R15" s="24"/>
      <c r="S15" s="24"/>
      <c r="T15" s="24"/>
    </row>
    <row r="16" spans="1:20" ht="15.75" customHeight="1" x14ac:dyDescent="0.25">
      <c r="A16" s="5" t="s">
        <v>492</v>
      </c>
      <c r="B16" s="81"/>
      <c r="C16" s="81"/>
      <c r="D16" s="81"/>
      <c r="E16" s="81"/>
      <c r="F16" s="81">
        <v>7.5545377517302574</v>
      </c>
      <c r="G16" s="81">
        <v>8.8564194395246556</v>
      </c>
      <c r="H16" s="81">
        <v>152.36262888115434</v>
      </c>
      <c r="I16" s="81">
        <v>129.63187650336994</v>
      </c>
      <c r="J16" s="81">
        <v>175.74105450336992</v>
      </c>
      <c r="K16" s="81">
        <v>251.57385282747578</v>
      </c>
      <c r="L16" s="81">
        <v>218.73713861469898</v>
      </c>
      <c r="M16" s="84">
        <v>158.1</v>
      </c>
      <c r="N16" s="24"/>
      <c r="O16" s="24"/>
      <c r="P16" s="24"/>
      <c r="Q16" s="24"/>
      <c r="R16" s="24"/>
      <c r="S16" s="24"/>
      <c r="T16" s="24"/>
    </row>
    <row r="17" spans="1:20" ht="15.75" customHeight="1" x14ac:dyDescent="0.25">
      <c r="A17" s="5" t="s">
        <v>184</v>
      </c>
      <c r="B17" s="81">
        <v>10.937316278756873</v>
      </c>
      <c r="C17" s="81">
        <v>12.791699276343081</v>
      </c>
      <c r="D17" s="81">
        <v>13.018829999999999</v>
      </c>
      <c r="E17" s="81">
        <v>20.6</v>
      </c>
      <c r="F17" s="81">
        <v>63.9</v>
      </c>
      <c r="G17" s="81">
        <v>188.64</v>
      </c>
      <c r="H17" s="81">
        <v>232.30799999999996</v>
      </c>
      <c r="I17" s="81">
        <v>218.98799999999997</v>
      </c>
      <c r="J17" s="81">
        <v>220.46399999999997</v>
      </c>
      <c r="K17" s="81">
        <v>256.32</v>
      </c>
      <c r="L17" s="81">
        <v>256.17599999999999</v>
      </c>
      <c r="M17" s="84">
        <v>332.6</v>
      </c>
      <c r="N17" s="24"/>
      <c r="O17" s="24"/>
      <c r="P17" s="24"/>
      <c r="Q17" s="24"/>
      <c r="R17" s="24"/>
      <c r="S17" s="24"/>
      <c r="T17" s="24"/>
    </row>
    <row r="18" spans="1:20" ht="15.75" customHeight="1" x14ac:dyDescent="0.25">
      <c r="A18" s="5" t="s">
        <v>495</v>
      </c>
      <c r="B18" s="81">
        <v>70.542604772483742</v>
      </c>
      <c r="C18" s="81">
        <v>82.502852017926443</v>
      </c>
      <c r="D18" s="81">
        <v>96.494563763656672</v>
      </c>
      <c r="E18" s="81">
        <v>101.06535888930357</v>
      </c>
      <c r="F18" s="81">
        <v>154.21114085297975</v>
      </c>
      <c r="G18" s="81">
        <v>179.02953446809079</v>
      </c>
      <c r="H18" s="81">
        <v>152.36262888115434</v>
      </c>
      <c r="I18" s="81">
        <v>202.79014031128813</v>
      </c>
      <c r="J18" s="81">
        <v>205.63078931128814</v>
      </c>
      <c r="K18" s="81">
        <v>164.59734669543909</v>
      </c>
      <c r="L18" s="81">
        <v>155.18881151578341</v>
      </c>
      <c r="M18" s="84">
        <v>117.7</v>
      </c>
      <c r="N18" s="24"/>
      <c r="O18" s="24"/>
      <c r="P18" s="24"/>
      <c r="Q18" s="24"/>
      <c r="R18" s="24"/>
      <c r="S18" s="24"/>
      <c r="T18" s="24"/>
    </row>
    <row r="19" spans="1:20" ht="15.75" customHeight="1" x14ac:dyDescent="0.25">
      <c r="A19" s="5" t="s">
        <v>497</v>
      </c>
      <c r="B19" s="81"/>
      <c r="C19" s="81"/>
      <c r="D19" s="81"/>
      <c r="E19" s="81"/>
      <c r="F19" s="81"/>
      <c r="G19" s="81">
        <v>126.25024381807093</v>
      </c>
      <c r="H19" s="81">
        <v>140.96863260280531</v>
      </c>
      <c r="I19" s="81">
        <v>134.11126800000002</v>
      </c>
      <c r="J19" s="81">
        <v>121.64754600000002</v>
      </c>
      <c r="K19" s="81">
        <v>109.2549854667019</v>
      </c>
      <c r="L19" s="81">
        <v>80.435131695206309</v>
      </c>
      <c r="M19" s="84">
        <v>70.900000000000006</v>
      </c>
      <c r="N19" s="24"/>
      <c r="O19" s="24"/>
      <c r="P19" s="24"/>
      <c r="Q19" s="24"/>
      <c r="R19" s="24"/>
      <c r="S19" s="24"/>
      <c r="T19" s="24"/>
    </row>
    <row r="20" spans="1:20" ht="15.75" customHeight="1" x14ac:dyDescent="0.25">
      <c r="A20" s="5" t="s">
        <v>500</v>
      </c>
      <c r="B20" s="81"/>
      <c r="C20" s="81"/>
      <c r="D20" s="81"/>
      <c r="E20" s="81"/>
      <c r="F20" s="81">
        <v>46.183200000000006</v>
      </c>
      <c r="G20" s="81">
        <v>77.379181694946695</v>
      </c>
      <c r="H20" s="128" t="s">
        <v>501</v>
      </c>
      <c r="I20" s="81"/>
      <c r="J20" s="81"/>
      <c r="K20" s="81"/>
      <c r="L20" s="81"/>
      <c r="M20" s="108"/>
      <c r="N20" s="24"/>
      <c r="O20" s="24"/>
      <c r="P20" s="24"/>
      <c r="Q20" s="24"/>
      <c r="R20" s="24"/>
      <c r="S20" s="24"/>
      <c r="T20" s="24"/>
    </row>
    <row r="21" spans="1:20" ht="15.75" customHeight="1" x14ac:dyDescent="0.25">
      <c r="A21" s="5" t="s">
        <v>502</v>
      </c>
      <c r="B21" s="81">
        <v>26.599499999999999</v>
      </c>
      <c r="C21" s="81">
        <v>36.564749999999997</v>
      </c>
      <c r="D21" s="81">
        <v>33.299999999999997</v>
      </c>
      <c r="E21" s="81">
        <v>56.973000000000006</v>
      </c>
      <c r="F21" s="81">
        <v>80.820600000000013</v>
      </c>
      <c r="G21" s="81">
        <v>93.669535735988106</v>
      </c>
      <c r="H21" s="81">
        <v>106.79441863848888</v>
      </c>
      <c r="I21" s="81">
        <v>100.58345100000001</v>
      </c>
      <c r="J21" s="81">
        <v>103.758201</v>
      </c>
      <c r="K21" s="81">
        <v>94.328913680302378</v>
      </c>
      <c r="L21" s="81">
        <v>53.880924902572218</v>
      </c>
      <c r="M21" s="84">
        <v>48.5</v>
      </c>
      <c r="N21" s="24"/>
      <c r="O21" s="24"/>
      <c r="P21" s="24"/>
      <c r="Q21" s="24"/>
      <c r="R21" s="24"/>
      <c r="S21" s="24"/>
      <c r="T21" s="24"/>
    </row>
    <row r="22" spans="1:20" ht="15.75" customHeight="1" x14ac:dyDescent="0.25">
      <c r="A22" s="5" t="s">
        <v>503</v>
      </c>
      <c r="B22" s="81"/>
      <c r="C22" s="81"/>
      <c r="D22" s="81"/>
      <c r="E22" s="81"/>
      <c r="F22" s="81">
        <v>88.517800000000008</v>
      </c>
      <c r="G22" s="81">
        <v>81.410712944632863</v>
      </c>
      <c r="H22" s="81">
        <v>102.26769996514631</v>
      </c>
      <c r="I22" s="81">
        <v>106.82637747665939</v>
      </c>
      <c r="J22" s="81">
        <v>103.58260947665939</v>
      </c>
      <c r="K22" s="81">
        <v>77.723571244961917</v>
      </c>
      <c r="L22" s="81">
        <v>38.382109358889863</v>
      </c>
      <c r="M22" s="84">
        <v>46.7</v>
      </c>
      <c r="N22" s="24"/>
      <c r="O22" s="24"/>
      <c r="P22" s="24"/>
      <c r="Q22" s="24"/>
      <c r="R22" s="24"/>
      <c r="S22" s="24"/>
      <c r="T22" s="24"/>
    </row>
    <row r="23" spans="1:20" ht="15.75" customHeight="1" x14ac:dyDescent="0.25">
      <c r="A23" s="5" t="s">
        <v>505</v>
      </c>
      <c r="B23" s="81">
        <v>46.080049144761816</v>
      </c>
      <c r="C23" s="81">
        <v>62.985089874489255</v>
      </c>
      <c r="D23" s="81">
        <v>53.28</v>
      </c>
      <c r="E23" s="81">
        <v>73.041688119565165</v>
      </c>
      <c r="F23" s="81" t="s">
        <v>506</v>
      </c>
      <c r="G23" s="81"/>
      <c r="H23" s="81"/>
      <c r="I23" s="81"/>
      <c r="J23" s="81"/>
      <c r="K23" s="81"/>
      <c r="L23" s="81"/>
      <c r="M23" s="108"/>
      <c r="N23" s="24"/>
      <c r="O23" s="24"/>
      <c r="P23" s="24"/>
      <c r="Q23" s="24"/>
      <c r="R23" s="24"/>
      <c r="S23" s="24"/>
      <c r="T23" s="24"/>
    </row>
    <row r="24" spans="1:20" ht="15.75" customHeight="1" x14ac:dyDescent="0.25">
      <c r="A24" s="5" t="s">
        <v>507</v>
      </c>
      <c r="B24" s="81">
        <v>38.125949999999996</v>
      </c>
      <c r="C24" s="81">
        <v>52.409475</v>
      </c>
      <c r="D24" s="81">
        <v>47.73</v>
      </c>
      <c r="E24" s="81"/>
      <c r="F24" s="81"/>
      <c r="G24" s="81"/>
      <c r="H24" s="81"/>
      <c r="I24" s="81"/>
      <c r="J24" s="81"/>
      <c r="K24" s="81"/>
      <c r="L24" s="81"/>
      <c r="M24" s="108"/>
      <c r="N24" s="24"/>
      <c r="O24" s="24"/>
      <c r="P24" s="24"/>
      <c r="Q24" s="24"/>
      <c r="R24" s="24"/>
      <c r="S24" s="24"/>
      <c r="T24" s="24"/>
    </row>
    <row r="25" spans="1:20" ht="15.75" customHeight="1" x14ac:dyDescent="0.25">
      <c r="A25" s="5" t="s">
        <v>508</v>
      </c>
      <c r="B25" s="81">
        <v>15.33</v>
      </c>
      <c r="C25" s="81">
        <v>20.475000000000001</v>
      </c>
      <c r="D25" s="81">
        <v>19.53</v>
      </c>
      <c r="E25" s="81">
        <v>18.991</v>
      </c>
      <c r="F25" s="81">
        <v>32.680200000000006</v>
      </c>
      <c r="G25" s="81">
        <v>35.237299999999998</v>
      </c>
      <c r="H25" s="81">
        <v>38.376100000000001</v>
      </c>
      <c r="I25" s="81">
        <v>34.601700000000001</v>
      </c>
      <c r="J25" s="81">
        <v>33.822600000000001</v>
      </c>
      <c r="K25" s="81">
        <v>37.141450679539965</v>
      </c>
      <c r="L25" s="81">
        <v>26.866227224184829</v>
      </c>
      <c r="M25" s="84">
        <v>17.899999999999999</v>
      </c>
      <c r="N25" s="24"/>
      <c r="O25" s="24"/>
      <c r="P25" s="24"/>
      <c r="Q25" s="24"/>
      <c r="R25" s="24"/>
      <c r="S25" s="24"/>
      <c r="T25" s="24"/>
    </row>
    <row r="26" spans="1:20" ht="15.75" customHeight="1" x14ac:dyDescent="0.25">
      <c r="A26" s="5" t="s">
        <v>509</v>
      </c>
      <c r="B26" s="81"/>
      <c r="C26" s="81"/>
      <c r="D26" s="81"/>
      <c r="E26" s="81">
        <v>9.098304900140791</v>
      </c>
      <c r="F26" s="81">
        <v>12.496834201198405</v>
      </c>
      <c r="G26" s="81">
        <v>14.650427198760257</v>
      </c>
      <c r="H26" s="81">
        <v>18.319990319456551</v>
      </c>
      <c r="I26" s="81">
        <v>14.107639306839356</v>
      </c>
      <c r="J26" s="81">
        <v>14.107639306839356</v>
      </c>
      <c r="K26" s="81">
        <v>10.642561098993482</v>
      </c>
      <c r="L26" s="81">
        <v>11.660051420160068</v>
      </c>
      <c r="M26" s="84">
        <v>9</v>
      </c>
      <c r="N26" s="24"/>
      <c r="O26" s="24"/>
      <c r="P26" s="24"/>
      <c r="Q26" s="24"/>
      <c r="R26" s="24"/>
      <c r="S26" s="24"/>
      <c r="T26" s="24"/>
    </row>
    <row r="27" spans="1:20" ht="15.75" customHeight="1" x14ac:dyDescent="0.25">
      <c r="A27" s="5" t="s">
        <v>511</v>
      </c>
      <c r="B27" s="81"/>
      <c r="C27" s="81"/>
      <c r="D27" s="81"/>
      <c r="E27" s="81"/>
      <c r="F27" s="81"/>
      <c r="G27" s="81"/>
      <c r="H27" s="81"/>
      <c r="I27" s="81"/>
      <c r="J27" s="81"/>
      <c r="K27" s="81">
        <v>7.6409424641759527</v>
      </c>
      <c r="L27" s="81">
        <v>9.058306414027669</v>
      </c>
      <c r="M27" s="84">
        <v>9.1</v>
      </c>
      <c r="N27" s="24"/>
      <c r="O27" s="24"/>
      <c r="P27" s="24"/>
      <c r="Q27" s="24"/>
      <c r="R27" s="24"/>
      <c r="S27" s="24"/>
      <c r="T27" s="24"/>
    </row>
    <row r="28" spans="1:20" ht="15.75" customHeight="1" x14ac:dyDescent="0.25">
      <c r="A28" s="5" t="s">
        <v>512</v>
      </c>
      <c r="B28" s="81">
        <v>15.959699999999998</v>
      </c>
      <c r="C28" s="81" t="s">
        <v>513</v>
      </c>
      <c r="D28" s="81"/>
      <c r="E28" s="81"/>
      <c r="F28" s="81"/>
      <c r="G28" s="81"/>
      <c r="H28" s="81"/>
      <c r="I28" s="81"/>
      <c r="J28" s="81"/>
      <c r="K28" s="81"/>
      <c r="L28" s="81"/>
      <c r="M28" s="108"/>
      <c r="N28" s="24"/>
      <c r="O28" s="24"/>
      <c r="P28" s="24"/>
      <c r="Q28" s="24"/>
      <c r="R28" s="24"/>
      <c r="S28" s="24"/>
      <c r="T28" s="24"/>
    </row>
    <row r="29" spans="1:20" ht="15.75" customHeight="1" x14ac:dyDescent="0.25">
      <c r="A29" s="5" t="s">
        <v>515</v>
      </c>
      <c r="B29" s="81">
        <v>15.959699999999998</v>
      </c>
      <c r="C29" s="81">
        <v>21.938849999999999</v>
      </c>
      <c r="D29" s="81">
        <v>19.979999999999997</v>
      </c>
      <c r="E29" s="81" t="s">
        <v>517</v>
      </c>
      <c r="F29" s="81"/>
      <c r="G29" s="81"/>
      <c r="H29" s="81"/>
      <c r="I29" s="81"/>
      <c r="J29" s="81"/>
      <c r="K29" s="81"/>
      <c r="L29" s="81"/>
      <c r="M29" s="108"/>
      <c r="N29" s="24"/>
      <c r="O29" s="24"/>
      <c r="P29" s="24"/>
      <c r="Q29" s="24"/>
      <c r="R29" s="24"/>
      <c r="S29" s="24"/>
      <c r="T29" s="24"/>
    </row>
    <row r="30" spans="1:20" ht="15.75" customHeight="1" x14ac:dyDescent="0.25">
      <c r="A30" s="5" t="s">
        <v>518</v>
      </c>
      <c r="B30" s="81">
        <v>42.559199999999997</v>
      </c>
      <c r="C30" s="81">
        <v>58.503600000000006</v>
      </c>
      <c r="D30" s="81">
        <v>53.28</v>
      </c>
      <c r="E30" s="81" t="s">
        <v>385</v>
      </c>
      <c r="F30" s="81"/>
      <c r="G30" s="81"/>
      <c r="H30" s="81"/>
      <c r="I30" s="81"/>
      <c r="J30" s="81"/>
      <c r="K30" s="81"/>
      <c r="L30" s="81"/>
      <c r="M30" s="108"/>
      <c r="N30" s="24"/>
      <c r="O30" s="24"/>
      <c r="P30" s="24"/>
      <c r="Q30" s="24"/>
      <c r="R30" s="24"/>
      <c r="S30" s="24"/>
      <c r="T30" s="24"/>
    </row>
    <row r="31" spans="1:20" ht="15.75" customHeight="1" x14ac:dyDescent="0.25">
      <c r="A31" s="5" t="s">
        <v>519</v>
      </c>
      <c r="B31" s="81">
        <v>56.745600000000003</v>
      </c>
      <c r="C31" s="81" t="s">
        <v>520</v>
      </c>
      <c r="D31" s="81"/>
      <c r="E31" s="81"/>
      <c r="F31" s="81"/>
      <c r="G31" s="81"/>
      <c r="H31" s="81"/>
      <c r="I31" s="81"/>
      <c r="J31" s="81"/>
      <c r="K31" s="81"/>
      <c r="L31" s="81"/>
      <c r="M31" s="108"/>
      <c r="N31" s="24"/>
      <c r="O31" s="24"/>
      <c r="P31" s="24"/>
      <c r="Q31" s="24"/>
      <c r="R31" s="24"/>
      <c r="S31" s="24"/>
      <c r="T31" s="24"/>
    </row>
    <row r="32" spans="1:20" ht="15.75" customHeight="1" x14ac:dyDescent="0.25">
      <c r="A32" s="5" t="s">
        <v>521</v>
      </c>
      <c r="B32" s="81"/>
      <c r="C32" s="81"/>
      <c r="D32" s="81"/>
      <c r="E32" s="81"/>
      <c r="F32" s="81">
        <v>11.545800000000002</v>
      </c>
      <c r="G32" s="81" t="s">
        <v>522</v>
      </c>
      <c r="H32" s="81"/>
      <c r="I32" s="81"/>
      <c r="J32" s="81"/>
      <c r="K32" s="81"/>
      <c r="L32" s="81"/>
      <c r="M32" s="108"/>
      <c r="N32" s="24"/>
      <c r="O32" s="24"/>
      <c r="P32" s="24"/>
      <c r="Q32" s="24"/>
      <c r="R32" s="24"/>
      <c r="S32" s="24"/>
      <c r="T32" s="24"/>
    </row>
    <row r="33" spans="1:20" ht="15.75" customHeight="1" x14ac:dyDescent="0.25">
      <c r="A33" s="5" t="s">
        <v>523</v>
      </c>
      <c r="B33" s="81"/>
      <c r="C33" s="81"/>
      <c r="D33" s="81"/>
      <c r="E33" s="81">
        <v>27.13</v>
      </c>
      <c r="F33" s="81" t="s">
        <v>524</v>
      </c>
      <c r="G33" s="81"/>
      <c r="H33" s="81"/>
      <c r="I33" s="81"/>
      <c r="J33" s="81"/>
      <c r="K33" s="81"/>
      <c r="L33" s="81"/>
      <c r="M33" s="108"/>
      <c r="N33" s="24"/>
      <c r="O33" s="24"/>
      <c r="P33" s="24"/>
      <c r="Q33" s="24"/>
      <c r="R33" s="24"/>
      <c r="S33" s="24"/>
      <c r="T33" s="24"/>
    </row>
    <row r="34" spans="1:20" ht="15.75" customHeight="1" x14ac:dyDescent="0.25">
      <c r="A34" s="5" t="s">
        <v>525</v>
      </c>
      <c r="B34" s="81">
        <v>5.6</v>
      </c>
      <c r="C34" s="81" t="s">
        <v>526</v>
      </c>
      <c r="D34" s="81"/>
      <c r="E34" s="81"/>
      <c r="F34" s="81"/>
      <c r="G34" s="81"/>
      <c r="H34" s="81"/>
      <c r="I34" s="81"/>
      <c r="J34" s="81"/>
      <c r="K34" s="81"/>
      <c r="L34" s="81"/>
      <c r="M34" s="108"/>
      <c r="N34" s="24"/>
      <c r="O34" s="24"/>
      <c r="P34" s="24"/>
      <c r="Q34" s="24"/>
      <c r="R34" s="24"/>
      <c r="S34" s="24"/>
      <c r="T34" s="24"/>
    </row>
    <row r="35" spans="1:20" ht="15.75" customHeight="1" x14ac:dyDescent="0.25">
      <c r="A35" s="21"/>
      <c r="B35" s="108"/>
      <c r="C35" s="108"/>
      <c r="D35" s="108"/>
      <c r="E35" s="108"/>
      <c r="F35" s="108"/>
      <c r="G35" s="108"/>
      <c r="H35" s="108"/>
      <c r="I35" s="108"/>
      <c r="J35" s="108"/>
      <c r="K35" s="108"/>
      <c r="L35" s="108"/>
      <c r="M35" s="108"/>
      <c r="N35" s="24"/>
      <c r="O35" s="24"/>
      <c r="P35" s="24"/>
      <c r="Q35" s="24"/>
      <c r="R35" s="24"/>
      <c r="S35" s="24"/>
      <c r="T35" s="24"/>
    </row>
    <row r="36" spans="1:20" ht="15.75" customHeight="1" x14ac:dyDescent="0.25">
      <c r="A36" s="21"/>
      <c r="B36" s="108"/>
      <c r="C36" s="108"/>
      <c r="D36" s="108"/>
      <c r="E36" s="108"/>
      <c r="F36" s="108"/>
      <c r="G36" s="108"/>
      <c r="H36" s="108"/>
      <c r="I36" s="108"/>
      <c r="J36" s="108"/>
      <c r="K36" s="108"/>
      <c r="L36" s="108"/>
      <c r="M36" s="108"/>
      <c r="N36" s="24"/>
      <c r="O36" s="24"/>
      <c r="P36" s="24"/>
      <c r="Q36" s="24"/>
      <c r="R36" s="24"/>
      <c r="S36" s="24"/>
      <c r="T36" s="24"/>
    </row>
    <row r="37" spans="1:20" ht="15.75" customHeight="1" x14ac:dyDescent="0.25">
      <c r="A37" s="5"/>
      <c r="B37" s="81"/>
      <c r="C37" s="81"/>
      <c r="D37" s="81"/>
      <c r="E37" s="81"/>
      <c r="F37" s="81"/>
      <c r="G37" s="81"/>
      <c r="H37" s="81"/>
      <c r="I37" s="81"/>
      <c r="J37" s="81"/>
      <c r="K37" s="81"/>
      <c r="L37" s="81"/>
      <c r="M37" s="108"/>
      <c r="N37" s="24"/>
      <c r="O37" s="24"/>
      <c r="P37" s="24"/>
      <c r="Q37" s="24"/>
      <c r="R37" s="24"/>
      <c r="S37" s="24"/>
      <c r="T37" s="24"/>
    </row>
    <row r="38" spans="1:20" ht="15.75" customHeight="1" x14ac:dyDescent="0.25">
      <c r="A38" s="5" t="s">
        <v>527</v>
      </c>
      <c r="B38" s="81">
        <v>5.19</v>
      </c>
      <c r="C38" s="81">
        <v>5.17</v>
      </c>
      <c r="D38" s="81">
        <v>5.6</v>
      </c>
      <c r="E38" s="81">
        <v>5.19</v>
      </c>
      <c r="F38" s="81">
        <v>5.17</v>
      </c>
      <c r="G38" s="81">
        <v>4.91</v>
      </c>
      <c r="H38" s="81">
        <v>4.3</v>
      </c>
      <c r="I38" s="81">
        <v>3.96</v>
      </c>
      <c r="J38" s="81">
        <v>3.9</v>
      </c>
      <c r="K38" s="81">
        <v>4.21</v>
      </c>
      <c r="L38" s="81"/>
      <c r="M38" s="108"/>
      <c r="N38" s="24"/>
      <c r="O38" s="24"/>
      <c r="P38" s="24"/>
      <c r="Q38" s="24"/>
      <c r="R38" s="24"/>
      <c r="S38" s="24"/>
      <c r="T38" s="24"/>
    </row>
    <row r="39" spans="1:20" ht="15.75" customHeight="1" x14ac:dyDescent="0.25">
      <c r="A39" s="5" t="s">
        <v>528</v>
      </c>
      <c r="B39" s="81"/>
      <c r="C39" s="81">
        <v>108</v>
      </c>
      <c r="D39" s="81">
        <v>108</v>
      </c>
      <c r="E39" s="81">
        <v>105</v>
      </c>
      <c r="F39" s="81">
        <v>104</v>
      </c>
      <c r="G39" s="81">
        <v>100</v>
      </c>
      <c r="H39" s="81">
        <v>96</v>
      </c>
      <c r="I39" s="81">
        <v>94</v>
      </c>
      <c r="J39" s="81">
        <v>95</v>
      </c>
      <c r="K39" s="81">
        <v>95</v>
      </c>
      <c r="L39" s="81">
        <v>94</v>
      </c>
      <c r="M39" s="108"/>
      <c r="N39" s="24"/>
      <c r="O39" s="24"/>
      <c r="P39" s="24"/>
      <c r="Q39" s="24"/>
      <c r="R39" s="24"/>
      <c r="S39" s="24"/>
      <c r="T39" s="24"/>
    </row>
    <row r="40" spans="1:20" ht="15.75" customHeight="1" x14ac:dyDescent="0.25">
      <c r="A40" s="193" t="s">
        <v>529</v>
      </c>
      <c r="B40" s="81">
        <v>1773.31575</v>
      </c>
      <c r="C40" s="81">
        <v>2437.65</v>
      </c>
      <c r="D40" s="81">
        <v>2220</v>
      </c>
      <c r="E40" s="81">
        <v>2713</v>
      </c>
      <c r="F40" s="81">
        <v>3848.6000000000004</v>
      </c>
      <c r="G40" s="81">
        <v>4072.5885102603525</v>
      </c>
      <c r="H40" s="81">
        <v>4271.7767455395551</v>
      </c>
      <c r="I40" s="81">
        <v>3725.3130000000001</v>
      </c>
      <c r="J40" s="81">
        <v>3577.8690000000001</v>
      </c>
      <c r="K40" s="81">
        <v>3424.3999999999996</v>
      </c>
      <c r="L40" s="81">
        <v>3019.4354713425564</v>
      </c>
      <c r="M40" s="84">
        <v>2660</v>
      </c>
      <c r="N40" s="24"/>
      <c r="O40" s="24"/>
      <c r="P40" s="24"/>
      <c r="Q40" s="24"/>
      <c r="R40" s="24"/>
      <c r="S40" s="24"/>
      <c r="T40" s="24"/>
    </row>
    <row r="41" spans="1:20" ht="15.75" customHeight="1" x14ac:dyDescent="0.25">
      <c r="A41" s="193" t="s">
        <v>531</v>
      </c>
      <c r="B41" s="81">
        <v>416.68424999999996</v>
      </c>
      <c r="C41" s="81">
        <v>487.34999999999997</v>
      </c>
      <c r="D41" s="81">
        <v>570</v>
      </c>
      <c r="E41" s="81">
        <v>597</v>
      </c>
      <c r="F41" s="81">
        <v>820</v>
      </c>
      <c r="G41" s="81">
        <v>961.31148973964696</v>
      </c>
      <c r="H41" s="81">
        <v>1210.5232544604453</v>
      </c>
      <c r="I41" s="81">
        <v>1217.787</v>
      </c>
      <c r="J41" s="81">
        <v>1253.931</v>
      </c>
      <c r="K41" s="81">
        <v>1296.1000000000001</v>
      </c>
      <c r="L41" s="81">
        <v>1296.1000000000001</v>
      </c>
      <c r="M41" s="84">
        <v>1002.9</v>
      </c>
      <c r="N41" s="24"/>
      <c r="O41" s="24"/>
      <c r="P41" s="24"/>
      <c r="Q41" s="24"/>
      <c r="R41" s="24"/>
      <c r="S41" s="24"/>
      <c r="T41" s="24"/>
    </row>
    <row r="42" spans="1:20" ht="15.75" customHeight="1" x14ac:dyDescent="0.25">
      <c r="A42" s="193" t="s">
        <v>533</v>
      </c>
      <c r="B42" s="178">
        <v>2190</v>
      </c>
      <c r="C42" s="178">
        <v>2925</v>
      </c>
      <c r="D42" s="178">
        <v>2790</v>
      </c>
      <c r="E42" s="178">
        <v>3310</v>
      </c>
      <c r="F42" s="178">
        <v>4668.6000000000004</v>
      </c>
      <c r="G42" s="178">
        <v>5033.8999999999996</v>
      </c>
      <c r="H42" s="178">
        <v>5434.3</v>
      </c>
      <c r="I42" s="178">
        <v>4943.1000000000004</v>
      </c>
      <c r="J42" s="178">
        <v>4831.8</v>
      </c>
      <c r="K42" s="178">
        <v>4720.5</v>
      </c>
      <c r="L42" s="178">
        <v>4315.5354713425568</v>
      </c>
      <c r="M42" s="300">
        <v>3662.9057889999999</v>
      </c>
      <c r="N42" s="24"/>
      <c r="O42" s="24"/>
      <c r="P42" s="24"/>
      <c r="Q42" s="24"/>
      <c r="R42" s="24"/>
      <c r="S42" s="24"/>
      <c r="T42" s="24"/>
    </row>
    <row r="43" spans="1:20" ht="15.75" customHeight="1" x14ac:dyDescent="0.25">
      <c r="A43" s="193" t="s">
        <v>42</v>
      </c>
      <c r="B43" s="110">
        <f>'Newspaper (MS)'!B43</f>
        <v>64.30512857532797</v>
      </c>
      <c r="C43" s="110">
        <f>'Newspaper (MS)'!C43</f>
        <v>67.242100312383243</v>
      </c>
      <c r="D43" s="110">
        <f>'Newspaper (MS)'!D43</f>
        <v>70.158705239565265</v>
      </c>
      <c r="E43" s="110">
        <f>'Newspaper (MS)'!E43</f>
        <v>66.721782477341392</v>
      </c>
      <c r="F43" s="110">
        <f>'Newspaper (MS)'!F43</f>
        <v>67.884093732596483</v>
      </c>
      <c r="G43" s="110">
        <f>'Newspaper (MS)'!G43</f>
        <v>69.498211566783738</v>
      </c>
      <c r="H43" s="110">
        <f>'Newspaper (MS)'!H43</f>
        <v>74.521218466016762</v>
      </c>
      <c r="I43" s="110">
        <f>'Newspaper (MS)'!I43</f>
        <v>73.259594036947917</v>
      </c>
      <c r="J43" s="110">
        <f>'Newspaper (MS)'!J43</f>
        <v>74.121871766215492</v>
      </c>
      <c r="K43" s="110">
        <f>'Newspaper (MS)'!K43</f>
        <v>67.256864738904767</v>
      </c>
      <c r="L43" s="110">
        <f>'Newspaper (MS)'!L43</f>
        <v>67.443740304104267</v>
      </c>
      <c r="M43" s="110">
        <f>'Newspaper (MS)'!M43</f>
        <v>72.125797172666509</v>
      </c>
      <c r="N43" s="24"/>
      <c r="O43" s="24"/>
      <c r="P43" s="24"/>
      <c r="Q43" s="24"/>
      <c r="R43" s="24"/>
      <c r="S43" s="24"/>
      <c r="T43" s="24"/>
    </row>
    <row r="44" spans="1:20" ht="15.75" customHeight="1" x14ac:dyDescent="0.25">
      <c r="A44" s="193" t="s">
        <v>43</v>
      </c>
      <c r="B44" s="110">
        <f>'Newspaper (MS)'!B44</f>
        <v>1314.8526441598092</v>
      </c>
      <c r="C44" s="110">
        <f>'Newspaper (MS)'!C44</f>
        <v>1371.1573919278687</v>
      </c>
      <c r="D44" s="110">
        <f>'Newspaper (MS)'!D44</f>
        <v>1562.0762518910769</v>
      </c>
      <c r="E44" s="110">
        <f>'Newspaper (MS)'!E44</f>
        <v>1497.7897245768743</v>
      </c>
      <c r="F44" s="110">
        <f>'Newspaper (MS)'!F44</f>
        <v>1330.4274795745032</v>
      </c>
      <c r="G44" s="110">
        <f>'Newspaper (MS)'!G44</f>
        <v>1457.0390184777207</v>
      </c>
      <c r="H44" s="110">
        <f>'Newspaper (MS)'!H44</f>
        <v>1596.419855638648</v>
      </c>
      <c r="I44" s="110">
        <f>'Newspaper (MS)'!I44</f>
        <v>1545.5517493248583</v>
      </c>
      <c r="J44" s="110">
        <f>'Newspaper (MS)'!J44</f>
        <v>1571.7009142369482</v>
      </c>
      <c r="K44" s="110">
        <f>'Newspaper (MS)'!K44</f>
        <v>1328.3205142126237</v>
      </c>
      <c r="L44" s="110">
        <f>'Newspaper (MS)'!L44</f>
        <v>1358.1143538671886</v>
      </c>
      <c r="M44" s="110">
        <f>'Newspaper (MS)'!M44</f>
        <v>1571.2138481869551</v>
      </c>
      <c r="N44" s="24"/>
      <c r="O44" s="24"/>
      <c r="P44" s="24"/>
      <c r="Q44" s="24"/>
      <c r="R44" s="24"/>
      <c r="S44" s="24"/>
      <c r="T44" s="24"/>
    </row>
    <row r="45" spans="1:20" ht="15.75" customHeight="1" x14ac:dyDescent="0.25">
      <c r="A45" s="9"/>
      <c r="B45" s="11"/>
      <c r="C45" s="11"/>
      <c r="D45" s="11"/>
      <c r="E45" s="11"/>
      <c r="F45" s="11"/>
      <c r="G45" s="11"/>
      <c r="H45" s="11"/>
      <c r="I45" s="11"/>
      <c r="J45" s="11"/>
      <c r="K45" s="11"/>
      <c r="L45" s="11"/>
      <c r="M45" s="24"/>
      <c r="N45" s="24"/>
      <c r="O45" s="24"/>
      <c r="P45" s="24"/>
      <c r="Q45" s="24"/>
      <c r="R45" s="24"/>
      <c r="S45" s="24"/>
      <c r="T45" s="24"/>
    </row>
    <row r="46" spans="1:20" ht="15.75" customHeight="1" x14ac:dyDescent="0.25">
      <c r="A46" s="25"/>
      <c r="B46" s="631" t="s">
        <v>46</v>
      </c>
      <c r="C46" s="623"/>
      <c r="D46" s="623"/>
      <c r="E46" s="11"/>
      <c r="F46" s="11"/>
      <c r="G46" s="11"/>
      <c r="H46" s="11"/>
      <c r="I46" s="11"/>
      <c r="J46" s="11"/>
      <c r="K46" s="11"/>
      <c r="L46" s="11"/>
      <c r="M46" s="24"/>
      <c r="N46" s="24"/>
      <c r="O46" s="24"/>
      <c r="P46" s="24"/>
      <c r="Q46" s="24"/>
      <c r="R46" s="24"/>
      <c r="S46" s="24"/>
      <c r="T46" s="24"/>
    </row>
    <row r="47" spans="1:20" ht="15.75" customHeight="1" x14ac:dyDescent="0.25">
      <c r="A47" s="25"/>
      <c r="B47" s="630" t="s">
        <v>549</v>
      </c>
      <c r="C47" s="623"/>
      <c r="D47" s="623"/>
      <c r="E47" s="623"/>
      <c r="F47" s="623"/>
      <c r="G47" s="623"/>
      <c r="H47" s="623"/>
      <c r="I47" s="623"/>
      <c r="J47" s="623"/>
      <c r="K47" s="623"/>
      <c r="L47" s="623"/>
      <c r="M47" s="623"/>
      <c r="N47" s="24"/>
      <c r="O47" s="24"/>
      <c r="P47" s="24"/>
      <c r="Q47" s="24"/>
      <c r="R47" s="24"/>
      <c r="S47" s="24"/>
      <c r="T47" s="24"/>
    </row>
    <row r="48" spans="1:20" ht="15.75" customHeight="1" x14ac:dyDescent="0.25">
      <c r="A48" s="25"/>
      <c r="B48" s="623"/>
      <c r="C48" s="623"/>
      <c r="D48" s="623"/>
      <c r="E48" s="623"/>
      <c r="F48" s="623"/>
      <c r="G48" s="623"/>
      <c r="H48" s="623"/>
      <c r="I48" s="623"/>
      <c r="J48" s="623"/>
      <c r="K48" s="623"/>
      <c r="L48" s="623"/>
      <c r="M48" s="623"/>
      <c r="N48" s="24"/>
      <c r="O48" s="24"/>
      <c r="P48" s="24"/>
      <c r="Q48" s="24"/>
      <c r="R48" s="24"/>
      <c r="S48" s="24"/>
      <c r="T48" s="24"/>
    </row>
    <row r="49" spans="1:20" ht="15.75" customHeight="1" x14ac:dyDescent="0.25">
      <c r="A49" s="25"/>
      <c r="B49" s="623"/>
      <c r="C49" s="623"/>
      <c r="D49" s="623"/>
      <c r="E49" s="623"/>
      <c r="F49" s="623"/>
      <c r="G49" s="623"/>
      <c r="H49" s="623"/>
      <c r="I49" s="623"/>
      <c r="J49" s="623"/>
      <c r="K49" s="623"/>
      <c r="L49" s="623"/>
      <c r="M49" s="623"/>
      <c r="N49" s="24"/>
      <c r="O49" s="24"/>
      <c r="P49" s="24"/>
      <c r="Q49" s="24"/>
      <c r="R49" s="24"/>
      <c r="S49" s="24"/>
      <c r="T49" s="24"/>
    </row>
    <row r="50" spans="1:20" ht="15.75" customHeight="1" x14ac:dyDescent="0.25">
      <c r="A50" s="25"/>
      <c r="B50" s="623"/>
      <c r="C50" s="623"/>
      <c r="D50" s="623"/>
      <c r="E50" s="623"/>
      <c r="F50" s="623"/>
      <c r="G50" s="623"/>
      <c r="H50" s="623"/>
      <c r="I50" s="623"/>
      <c r="J50" s="623"/>
      <c r="K50" s="623"/>
      <c r="L50" s="623"/>
      <c r="M50" s="623"/>
      <c r="N50" s="24"/>
      <c r="O50" s="24"/>
      <c r="P50" s="24"/>
      <c r="Q50" s="24"/>
      <c r="R50" s="24"/>
      <c r="S50" s="24"/>
      <c r="T50" s="24"/>
    </row>
    <row r="51" spans="1:20" ht="15.75" customHeight="1" x14ac:dyDescent="0.25">
      <c r="A51" s="25"/>
      <c r="B51" s="623"/>
      <c r="C51" s="623"/>
      <c r="D51" s="623"/>
      <c r="E51" s="623"/>
      <c r="F51" s="623"/>
      <c r="G51" s="623"/>
      <c r="H51" s="623"/>
      <c r="I51" s="623"/>
      <c r="J51" s="623"/>
      <c r="K51" s="623"/>
      <c r="L51" s="623"/>
      <c r="M51" s="623"/>
      <c r="N51" s="24"/>
      <c r="O51" s="24"/>
      <c r="P51" s="24"/>
      <c r="Q51" s="24"/>
      <c r="R51" s="24"/>
      <c r="S51" s="24"/>
      <c r="T51" s="24"/>
    </row>
    <row r="52" spans="1:20" ht="15.75" customHeight="1" x14ac:dyDescent="0.25">
      <c r="A52" s="25"/>
      <c r="B52" s="623"/>
      <c r="C52" s="623"/>
      <c r="D52" s="623"/>
      <c r="E52" s="623"/>
      <c r="F52" s="623"/>
      <c r="G52" s="623"/>
      <c r="H52" s="623"/>
      <c r="I52" s="623"/>
      <c r="J52" s="623"/>
      <c r="K52" s="623"/>
      <c r="L52" s="623"/>
      <c r="M52" s="623"/>
      <c r="N52" s="24"/>
      <c r="O52" s="24"/>
      <c r="P52" s="24"/>
      <c r="Q52" s="24"/>
      <c r="R52" s="24"/>
      <c r="S52" s="24"/>
      <c r="T52" s="24"/>
    </row>
    <row r="53" spans="1:20" ht="15.75" customHeight="1" x14ac:dyDescent="0.25">
      <c r="A53" s="25"/>
      <c r="B53" s="623"/>
      <c r="C53" s="623"/>
      <c r="D53" s="623"/>
      <c r="E53" s="623"/>
      <c r="F53" s="623"/>
      <c r="G53" s="623"/>
      <c r="H53" s="623"/>
      <c r="I53" s="623"/>
      <c r="J53" s="623"/>
      <c r="K53" s="623"/>
      <c r="L53" s="623"/>
      <c r="M53" s="623"/>
      <c r="N53" s="24"/>
      <c r="O53" s="24"/>
      <c r="P53" s="24"/>
      <c r="Q53" s="24"/>
      <c r="R53" s="24"/>
      <c r="S53" s="24"/>
      <c r="T53" s="24"/>
    </row>
    <row r="54" spans="1:20" ht="15.75" customHeight="1" x14ac:dyDescent="0.25">
      <c r="A54" s="25"/>
      <c r="B54" s="623"/>
      <c r="C54" s="623"/>
      <c r="D54" s="623"/>
      <c r="E54" s="623"/>
      <c r="F54" s="623"/>
      <c r="G54" s="623"/>
      <c r="H54" s="623"/>
      <c r="I54" s="623"/>
      <c r="J54" s="623"/>
      <c r="K54" s="623"/>
      <c r="L54" s="623"/>
      <c r="M54" s="623"/>
      <c r="N54" s="24"/>
      <c r="O54" s="24"/>
      <c r="P54" s="24"/>
      <c r="Q54" s="24"/>
      <c r="R54" s="24"/>
      <c r="S54" s="24"/>
      <c r="T54" s="24"/>
    </row>
    <row r="55" spans="1:20" ht="15.75" customHeight="1" x14ac:dyDescent="0.25">
      <c r="A55" s="25"/>
      <c r="B55" s="623"/>
      <c r="C55" s="623"/>
      <c r="D55" s="623"/>
      <c r="E55" s="623"/>
      <c r="F55" s="623"/>
      <c r="G55" s="623"/>
      <c r="H55" s="623"/>
      <c r="I55" s="623"/>
      <c r="J55" s="623"/>
      <c r="K55" s="623"/>
      <c r="L55" s="623"/>
      <c r="M55" s="623"/>
      <c r="N55" s="24"/>
      <c r="O55" s="24"/>
      <c r="P55" s="24"/>
      <c r="Q55" s="24"/>
      <c r="R55" s="24"/>
      <c r="S55" s="24"/>
      <c r="T55" s="24"/>
    </row>
    <row r="56" spans="1:20" ht="15.75" customHeight="1" x14ac:dyDescent="0.25">
      <c r="A56" s="25"/>
      <c r="B56" s="623"/>
      <c r="C56" s="623"/>
      <c r="D56" s="623"/>
      <c r="E56" s="623"/>
      <c r="F56" s="623"/>
      <c r="G56" s="623"/>
      <c r="H56" s="623"/>
      <c r="I56" s="623"/>
      <c r="J56" s="623"/>
      <c r="K56" s="623"/>
      <c r="L56" s="623"/>
      <c r="M56" s="623"/>
      <c r="N56" s="24"/>
      <c r="O56" s="24"/>
      <c r="P56" s="24"/>
      <c r="Q56" s="24"/>
      <c r="R56" s="24"/>
      <c r="S56" s="24"/>
      <c r="T56" s="24"/>
    </row>
    <row r="57" spans="1:20" ht="15.75" customHeight="1" x14ac:dyDescent="0.25">
      <c r="A57" s="25"/>
      <c r="B57" s="623"/>
      <c r="C57" s="623"/>
      <c r="D57" s="623"/>
      <c r="E57" s="623"/>
      <c r="F57" s="623"/>
      <c r="G57" s="623"/>
      <c r="H57" s="623"/>
      <c r="I57" s="623"/>
      <c r="J57" s="623"/>
      <c r="K57" s="623"/>
      <c r="L57" s="623"/>
      <c r="M57" s="623"/>
      <c r="N57" s="24"/>
      <c r="O57" s="24"/>
      <c r="P57" s="24"/>
      <c r="Q57" s="24"/>
      <c r="R57" s="24"/>
      <c r="S57" s="24"/>
      <c r="T57" s="24"/>
    </row>
    <row r="58" spans="1:20" ht="15.75" customHeight="1" x14ac:dyDescent="0.25">
      <c r="A58" s="25"/>
      <c r="B58" s="623"/>
      <c r="C58" s="623"/>
      <c r="D58" s="623"/>
      <c r="E58" s="623"/>
      <c r="F58" s="623"/>
      <c r="G58" s="623"/>
      <c r="H58" s="623"/>
      <c r="I58" s="623"/>
      <c r="J58" s="623"/>
      <c r="K58" s="623"/>
      <c r="L58" s="623"/>
      <c r="M58" s="623"/>
      <c r="N58" s="24"/>
      <c r="O58" s="24"/>
      <c r="P58" s="24"/>
      <c r="Q58" s="24"/>
      <c r="R58" s="24"/>
      <c r="S58" s="24"/>
      <c r="T58" s="24"/>
    </row>
    <row r="59" spans="1:20" ht="15.75" customHeight="1" x14ac:dyDescent="0.25">
      <c r="A59" s="25"/>
      <c r="B59" s="623"/>
      <c r="C59" s="623"/>
      <c r="D59" s="623"/>
      <c r="E59" s="623"/>
      <c r="F59" s="623"/>
      <c r="G59" s="623"/>
      <c r="H59" s="623"/>
      <c r="I59" s="623"/>
      <c r="J59" s="623"/>
      <c r="K59" s="623"/>
      <c r="L59" s="623"/>
      <c r="M59" s="623"/>
      <c r="N59" s="24"/>
      <c r="O59" s="24"/>
      <c r="P59" s="24"/>
      <c r="Q59" s="24"/>
      <c r="R59" s="24"/>
      <c r="S59" s="24"/>
      <c r="T59" s="24"/>
    </row>
    <row r="60" spans="1:20" ht="15.75" customHeight="1" x14ac:dyDescent="0.25">
      <c r="A60" s="25"/>
      <c r="B60" s="623"/>
      <c r="C60" s="623"/>
      <c r="D60" s="623"/>
      <c r="E60" s="623"/>
      <c r="F60" s="623"/>
      <c r="G60" s="623"/>
      <c r="H60" s="623"/>
      <c r="I60" s="623"/>
      <c r="J60" s="623"/>
      <c r="K60" s="623"/>
      <c r="L60" s="623"/>
      <c r="M60" s="623"/>
      <c r="N60" s="24"/>
      <c r="O60" s="24"/>
      <c r="P60" s="24"/>
      <c r="Q60" s="24"/>
      <c r="R60" s="24"/>
      <c r="S60" s="24"/>
      <c r="T60" s="24"/>
    </row>
    <row r="61" spans="1:20" ht="15.75" customHeight="1" x14ac:dyDescent="0.25">
      <c r="A61" s="25"/>
      <c r="B61" s="623"/>
      <c r="C61" s="623"/>
      <c r="D61" s="623"/>
      <c r="E61" s="623"/>
      <c r="F61" s="623"/>
      <c r="G61" s="623"/>
      <c r="H61" s="623"/>
      <c r="I61" s="623"/>
      <c r="J61" s="623"/>
      <c r="K61" s="623"/>
      <c r="L61" s="623"/>
      <c r="M61" s="623"/>
      <c r="N61" s="24"/>
      <c r="O61" s="24"/>
      <c r="P61" s="24"/>
      <c r="Q61" s="24"/>
      <c r="R61" s="24"/>
      <c r="S61" s="24"/>
      <c r="T61" s="24"/>
    </row>
    <row r="62" spans="1:20" ht="15.75" customHeight="1" x14ac:dyDescent="0.25">
      <c r="A62" s="25"/>
      <c r="B62" s="623"/>
      <c r="C62" s="623"/>
      <c r="D62" s="623"/>
      <c r="E62" s="623"/>
      <c r="F62" s="623"/>
      <c r="G62" s="623"/>
      <c r="H62" s="623"/>
      <c r="I62" s="623"/>
      <c r="J62" s="623"/>
      <c r="K62" s="623"/>
      <c r="L62" s="623"/>
      <c r="M62" s="623"/>
      <c r="N62" s="24"/>
      <c r="O62" s="24"/>
      <c r="P62" s="24"/>
      <c r="Q62" s="24"/>
      <c r="R62" s="24"/>
      <c r="S62" s="24"/>
      <c r="T62" s="24"/>
    </row>
    <row r="63" spans="1:20" ht="15.75" customHeight="1" x14ac:dyDescent="0.25">
      <c r="A63" s="25"/>
      <c r="B63" s="623"/>
      <c r="C63" s="623"/>
      <c r="D63" s="623"/>
      <c r="E63" s="623"/>
      <c r="F63" s="623"/>
      <c r="G63" s="623"/>
      <c r="H63" s="623"/>
      <c r="I63" s="623"/>
      <c r="J63" s="623"/>
      <c r="K63" s="623"/>
      <c r="L63" s="623"/>
      <c r="M63" s="623"/>
      <c r="N63" s="24"/>
      <c r="O63" s="24"/>
      <c r="P63" s="24"/>
      <c r="Q63" s="24"/>
      <c r="R63" s="24"/>
      <c r="S63" s="24"/>
      <c r="T63" s="24"/>
    </row>
    <row r="64" spans="1:20" ht="15.75" customHeight="1" x14ac:dyDescent="0.25">
      <c r="A64" s="25"/>
      <c r="B64" s="623"/>
      <c r="C64" s="623"/>
      <c r="D64" s="623"/>
      <c r="E64" s="623"/>
      <c r="F64" s="623"/>
      <c r="G64" s="623"/>
      <c r="H64" s="623"/>
      <c r="I64" s="623"/>
      <c r="J64" s="623"/>
      <c r="K64" s="623"/>
      <c r="L64" s="623"/>
      <c r="M64" s="623"/>
      <c r="N64" s="24"/>
      <c r="O64" s="24"/>
      <c r="P64" s="24"/>
      <c r="Q64" s="24"/>
      <c r="R64" s="24"/>
      <c r="S64" s="24"/>
      <c r="T64" s="24"/>
    </row>
    <row r="65" spans="1:20" ht="15.75" customHeight="1" x14ac:dyDescent="0.25">
      <c r="A65" s="25"/>
      <c r="B65" s="623"/>
      <c r="C65" s="623"/>
      <c r="D65" s="623"/>
      <c r="E65" s="623"/>
      <c r="F65" s="623"/>
      <c r="G65" s="623"/>
      <c r="H65" s="623"/>
      <c r="I65" s="623"/>
      <c r="J65" s="623"/>
      <c r="K65" s="623"/>
      <c r="L65" s="623"/>
      <c r="M65" s="623"/>
      <c r="N65" s="24"/>
      <c r="O65" s="24"/>
      <c r="P65" s="24"/>
      <c r="Q65" s="24"/>
      <c r="R65" s="24"/>
      <c r="S65" s="24"/>
      <c r="T65" s="24"/>
    </row>
    <row r="66" spans="1:20" ht="15.75" customHeight="1" x14ac:dyDescent="0.25">
      <c r="A66" s="25"/>
      <c r="B66" s="623"/>
      <c r="C66" s="623"/>
      <c r="D66" s="623"/>
      <c r="E66" s="623"/>
      <c r="F66" s="623"/>
      <c r="G66" s="623"/>
      <c r="H66" s="623"/>
      <c r="I66" s="623"/>
      <c r="J66" s="623"/>
      <c r="K66" s="623"/>
      <c r="L66" s="623"/>
      <c r="M66" s="623"/>
      <c r="N66" s="24"/>
      <c r="O66" s="24"/>
      <c r="P66" s="24"/>
      <c r="Q66" s="24"/>
      <c r="R66" s="24"/>
      <c r="S66" s="24"/>
      <c r="T66" s="24"/>
    </row>
    <row r="67" spans="1:20" ht="15.75" customHeight="1" x14ac:dyDescent="0.25">
      <c r="A67" s="25"/>
      <c r="B67" s="623"/>
      <c r="C67" s="623"/>
      <c r="D67" s="623"/>
      <c r="E67" s="623"/>
      <c r="F67" s="623"/>
      <c r="G67" s="623"/>
      <c r="H67" s="623"/>
      <c r="I67" s="623"/>
      <c r="J67" s="623"/>
      <c r="K67" s="623"/>
      <c r="L67" s="623"/>
      <c r="M67" s="623"/>
      <c r="N67" s="24"/>
      <c r="O67" s="24"/>
      <c r="P67" s="24"/>
      <c r="Q67" s="24"/>
      <c r="R67" s="24"/>
      <c r="S67" s="24"/>
      <c r="T67" s="24"/>
    </row>
    <row r="68" spans="1:20" ht="15.75" customHeight="1" x14ac:dyDescent="0.25">
      <c r="A68" s="25"/>
      <c r="B68" s="623"/>
      <c r="C68" s="623"/>
      <c r="D68" s="623"/>
      <c r="E68" s="623"/>
      <c r="F68" s="623"/>
      <c r="G68" s="623"/>
      <c r="H68" s="623"/>
      <c r="I68" s="623"/>
      <c r="J68" s="623"/>
      <c r="K68" s="623"/>
      <c r="L68" s="623"/>
      <c r="M68" s="623"/>
      <c r="N68" s="24"/>
      <c r="O68" s="24"/>
      <c r="P68" s="24"/>
      <c r="Q68" s="24"/>
      <c r="R68" s="24"/>
      <c r="S68" s="24"/>
      <c r="T68" s="24"/>
    </row>
    <row r="69" spans="1:20" ht="15.75" customHeight="1" x14ac:dyDescent="0.25">
      <c r="A69" s="25"/>
      <c r="B69" s="623"/>
      <c r="C69" s="623"/>
      <c r="D69" s="623"/>
      <c r="E69" s="623"/>
      <c r="F69" s="623"/>
      <c r="G69" s="623"/>
      <c r="H69" s="623"/>
      <c r="I69" s="623"/>
      <c r="J69" s="623"/>
      <c r="K69" s="623"/>
      <c r="L69" s="623"/>
      <c r="M69" s="623"/>
      <c r="N69" s="24"/>
      <c r="O69" s="24"/>
      <c r="P69" s="24"/>
      <c r="Q69" s="24"/>
      <c r="R69" s="24"/>
      <c r="S69" s="24"/>
      <c r="T69" s="24"/>
    </row>
    <row r="70" spans="1:20" ht="15.75" customHeight="1" x14ac:dyDescent="0.25">
      <c r="A70" s="25"/>
      <c r="B70" s="623"/>
      <c r="C70" s="623"/>
      <c r="D70" s="623"/>
      <c r="E70" s="623"/>
      <c r="F70" s="623"/>
      <c r="G70" s="623"/>
      <c r="H70" s="623"/>
      <c r="I70" s="623"/>
      <c r="J70" s="623"/>
      <c r="K70" s="623"/>
      <c r="L70" s="623"/>
      <c r="M70" s="623"/>
      <c r="N70" s="24"/>
      <c r="O70" s="24"/>
      <c r="P70" s="24"/>
      <c r="Q70" s="24"/>
      <c r="R70" s="24"/>
      <c r="S70" s="24"/>
      <c r="T70" s="24"/>
    </row>
    <row r="71" spans="1:20" ht="15.75" customHeight="1" x14ac:dyDescent="0.25">
      <c r="A71" s="25"/>
      <c r="B71" s="623"/>
      <c r="C71" s="623"/>
      <c r="D71" s="623"/>
      <c r="E71" s="623"/>
      <c r="F71" s="623"/>
      <c r="G71" s="623"/>
      <c r="H71" s="623"/>
      <c r="I71" s="623"/>
      <c r="J71" s="623"/>
      <c r="K71" s="623"/>
      <c r="L71" s="623"/>
      <c r="M71" s="623"/>
      <c r="N71" s="24"/>
      <c r="O71" s="24"/>
      <c r="P71" s="24"/>
      <c r="Q71" s="24"/>
      <c r="R71" s="24"/>
      <c r="S71" s="24"/>
      <c r="T71" s="24"/>
    </row>
    <row r="72" spans="1:20" ht="15.75" customHeight="1" x14ac:dyDescent="0.25">
      <c r="A72" s="25"/>
      <c r="B72" s="623"/>
      <c r="C72" s="623"/>
      <c r="D72" s="623"/>
      <c r="E72" s="623"/>
      <c r="F72" s="623"/>
      <c r="G72" s="623"/>
      <c r="H72" s="623"/>
      <c r="I72" s="623"/>
      <c r="J72" s="623"/>
      <c r="K72" s="623"/>
      <c r="L72" s="623"/>
      <c r="M72" s="623"/>
      <c r="N72" s="24"/>
      <c r="O72" s="24"/>
      <c r="P72" s="24"/>
      <c r="Q72" s="24"/>
      <c r="R72" s="24"/>
      <c r="S72" s="24"/>
      <c r="T72" s="24"/>
    </row>
    <row r="73" spans="1:20" ht="15.75" customHeight="1" x14ac:dyDescent="0.25">
      <c r="A73" s="25"/>
      <c r="B73" s="623"/>
      <c r="C73" s="623"/>
      <c r="D73" s="623"/>
      <c r="E73" s="623"/>
      <c r="F73" s="623"/>
      <c r="G73" s="623"/>
      <c r="H73" s="623"/>
      <c r="I73" s="623"/>
      <c r="J73" s="623"/>
      <c r="K73" s="623"/>
      <c r="L73" s="623"/>
      <c r="M73" s="623"/>
      <c r="N73" s="24"/>
      <c r="O73" s="24"/>
      <c r="P73" s="24"/>
      <c r="Q73" s="24"/>
      <c r="R73" s="24"/>
      <c r="S73" s="24"/>
      <c r="T73" s="24"/>
    </row>
    <row r="74" spans="1:20" ht="15.75" customHeight="1" x14ac:dyDescent="0.25">
      <c r="A74" s="25"/>
      <c r="B74" s="623"/>
      <c r="C74" s="623"/>
      <c r="D74" s="623"/>
      <c r="E74" s="623"/>
      <c r="F74" s="623"/>
      <c r="G74" s="623"/>
      <c r="H74" s="623"/>
      <c r="I74" s="623"/>
      <c r="J74" s="623"/>
      <c r="K74" s="623"/>
      <c r="L74" s="623"/>
      <c r="M74" s="623"/>
      <c r="N74" s="24"/>
      <c r="O74" s="24"/>
      <c r="P74" s="24"/>
      <c r="Q74" s="24"/>
      <c r="R74" s="24"/>
      <c r="S74" s="24"/>
      <c r="T74" s="24"/>
    </row>
    <row r="75" spans="1:20" ht="15.75" customHeight="1" x14ac:dyDescent="0.25">
      <c r="A75" s="25"/>
      <c r="B75" s="623"/>
      <c r="C75" s="623"/>
      <c r="D75" s="623"/>
      <c r="E75" s="623"/>
      <c r="F75" s="623"/>
      <c r="G75" s="623"/>
      <c r="H75" s="623"/>
      <c r="I75" s="623"/>
      <c r="J75" s="623"/>
      <c r="K75" s="623"/>
      <c r="L75" s="623"/>
      <c r="M75" s="623"/>
      <c r="N75" s="24"/>
      <c r="O75" s="24"/>
      <c r="P75" s="24"/>
      <c r="Q75" s="24"/>
      <c r="R75" s="24"/>
      <c r="S75" s="24"/>
      <c r="T75" s="24"/>
    </row>
    <row r="76" spans="1:20" ht="15.75" customHeight="1" x14ac:dyDescent="0.25">
      <c r="A76" s="25"/>
      <c r="B76" s="623"/>
      <c r="C76" s="623"/>
      <c r="D76" s="623"/>
      <c r="E76" s="623"/>
      <c r="F76" s="623"/>
      <c r="G76" s="623"/>
      <c r="H76" s="623"/>
      <c r="I76" s="623"/>
      <c r="J76" s="623"/>
      <c r="K76" s="623"/>
      <c r="L76" s="623"/>
      <c r="M76" s="623"/>
      <c r="N76" s="24"/>
      <c r="O76" s="24"/>
      <c r="P76" s="24"/>
      <c r="Q76" s="24"/>
      <c r="R76" s="24"/>
      <c r="S76" s="24"/>
      <c r="T76" s="24"/>
    </row>
    <row r="77" spans="1:20" ht="15.75" customHeight="1" x14ac:dyDescent="0.25">
      <c r="A77" s="25"/>
      <c r="B77" s="623"/>
      <c r="C77" s="623"/>
      <c r="D77" s="623"/>
      <c r="E77" s="623"/>
      <c r="F77" s="623"/>
      <c r="G77" s="623"/>
      <c r="H77" s="623"/>
      <c r="I77" s="623"/>
      <c r="J77" s="623"/>
      <c r="K77" s="623"/>
      <c r="L77" s="623"/>
      <c r="M77" s="623"/>
      <c r="N77" s="24"/>
      <c r="O77" s="24"/>
      <c r="P77" s="24"/>
      <c r="Q77" s="24"/>
      <c r="R77" s="24"/>
      <c r="S77" s="24"/>
      <c r="T77" s="24"/>
    </row>
    <row r="78" spans="1:20" ht="15.75" customHeight="1" x14ac:dyDescent="0.25">
      <c r="A78" s="25"/>
      <c r="B78" s="623"/>
      <c r="C78" s="623"/>
      <c r="D78" s="623"/>
      <c r="E78" s="623"/>
      <c r="F78" s="623"/>
      <c r="G78" s="623"/>
      <c r="H78" s="623"/>
      <c r="I78" s="623"/>
      <c r="J78" s="623"/>
      <c r="K78" s="623"/>
      <c r="L78" s="623"/>
      <c r="M78" s="623"/>
      <c r="N78" s="24"/>
      <c r="O78" s="24"/>
      <c r="P78" s="24"/>
      <c r="Q78" s="24"/>
      <c r="R78" s="24"/>
      <c r="S78" s="24"/>
      <c r="T78" s="24"/>
    </row>
    <row r="79" spans="1:20" ht="15.75" customHeight="1" x14ac:dyDescent="0.25">
      <c r="A79" s="25"/>
      <c r="B79" s="623"/>
      <c r="C79" s="623"/>
      <c r="D79" s="623"/>
      <c r="E79" s="623"/>
      <c r="F79" s="623"/>
      <c r="G79" s="623"/>
      <c r="H79" s="623"/>
      <c r="I79" s="623"/>
      <c r="J79" s="623"/>
      <c r="K79" s="623"/>
      <c r="L79" s="623"/>
      <c r="M79" s="623"/>
      <c r="N79" s="24"/>
      <c r="O79" s="24"/>
      <c r="P79" s="24"/>
      <c r="Q79" s="24"/>
      <c r="R79" s="24"/>
      <c r="S79" s="24"/>
      <c r="T79" s="24"/>
    </row>
    <row r="80" spans="1:20" ht="15.75" customHeight="1" x14ac:dyDescent="0.25">
      <c r="A80" s="25"/>
      <c r="B80" s="623"/>
      <c r="C80" s="623"/>
      <c r="D80" s="623"/>
      <c r="E80" s="623"/>
      <c r="F80" s="623"/>
      <c r="G80" s="623"/>
      <c r="H80" s="623"/>
      <c r="I80" s="623"/>
      <c r="J80" s="623"/>
      <c r="K80" s="623"/>
      <c r="L80" s="623"/>
      <c r="M80" s="623"/>
      <c r="N80" s="24"/>
      <c r="O80" s="24"/>
      <c r="P80" s="24"/>
      <c r="Q80" s="24"/>
      <c r="R80" s="24"/>
      <c r="S80" s="24"/>
      <c r="T80" s="24"/>
    </row>
    <row r="81" spans="1:20" ht="15.75" customHeight="1" x14ac:dyDescent="0.25">
      <c r="A81" s="25"/>
      <c r="B81" s="623"/>
      <c r="C81" s="623"/>
      <c r="D81" s="623"/>
      <c r="E81" s="623"/>
      <c r="F81" s="623"/>
      <c r="G81" s="623"/>
      <c r="H81" s="623"/>
      <c r="I81" s="623"/>
      <c r="J81" s="623"/>
      <c r="K81" s="623"/>
      <c r="L81" s="623"/>
      <c r="M81" s="623"/>
      <c r="N81" s="24"/>
      <c r="O81" s="24"/>
      <c r="P81" s="24"/>
      <c r="Q81" s="24"/>
      <c r="R81" s="24"/>
      <c r="S81" s="24"/>
      <c r="T81" s="24"/>
    </row>
    <row r="82" spans="1:20" ht="15.75" customHeight="1" x14ac:dyDescent="0.25">
      <c r="A82" s="25"/>
      <c r="B82" s="623"/>
      <c r="C82" s="623"/>
      <c r="D82" s="623"/>
      <c r="E82" s="623"/>
      <c r="F82" s="623"/>
      <c r="G82" s="623"/>
      <c r="H82" s="623"/>
      <c r="I82" s="623"/>
      <c r="J82" s="623"/>
      <c r="K82" s="623"/>
      <c r="L82" s="623"/>
      <c r="M82" s="623"/>
      <c r="N82" s="24"/>
      <c r="O82" s="24"/>
      <c r="P82" s="24"/>
      <c r="Q82" s="24"/>
      <c r="R82" s="24"/>
      <c r="S82" s="24"/>
      <c r="T82" s="24"/>
    </row>
    <row r="83" spans="1:20" ht="15.75" customHeight="1" x14ac:dyDescent="0.25">
      <c r="A83" s="25"/>
      <c r="B83" s="623"/>
      <c r="C83" s="623"/>
      <c r="D83" s="623"/>
      <c r="E83" s="623"/>
      <c r="F83" s="623"/>
      <c r="G83" s="623"/>
      <c r="H83" s="623"/>
      <c r="I83" s="623"/>
      <c r="J83" s="623"/>
      <c r="K83" s="623"/>
      <c r="L83" s="623"/>
      <c r="M83" s="623"/>
      <c r="N83" s="24"/>
      <c r="O83" s="24"/>
      <c r="P83" s="24"/>
      <c r="Q83" s="24"/>
      <c r="R83" s="24"/>
      <c r="S83" s="24"/>
      <c r="T83" s="24"/>
    </row>
    <row r="84" spans="1:20" ht="15.75" customHeight="1" x14ac:dyDescent="0.25">
      <c r="A84" s="25"/>
      <c r="B84" s="623"/>
      <c r="C84" s="623"/>
      <c r="D84" s="623"/>
      <c r="E84" s="623"/>
      <c r="F84" s="623"/>
      <c r="G84" s="623"/>
      <c r="H84" s="623"/>
      <c r="I84" s="623"/>
      <c r="J84" s="623"/>
      <c r="K84" s="623"/>
      <c r="L84" s="623"/>
      <c r="M84" s="623"/>
      <c r="N84" s="24"/>
      <c r="O84" s="24"/>
      <c r="P84" s="24"/>
      <c r="Q84" s="24"/>
      <c r="R84" s="24"/>
      <c r="S84" s="24"/>
      <c r="T84" s="24"/>
    </row>
    <row r="85" spans="1:20" ht="15.75" customHeight="1" x14ac:dyDescent="0.25">
      <c r="A85" s="25"/>
      <c r="B85" s="623"/>
      <c r="C85" s="623"/>
      <c r="D85" s="623"/>
      <c r="E85" s="623"/>
      <c r="F85" s="623"/>
      <c r="G85" s="623"/>
      <c r="H85" s="623"/>
      <c r="I85" s="623"/>
      <c r="J85" s="623"/>
      <c r="K85" s="623"/>
      <c r="L85" s="623"/>
      <c r="M85" s="623"/>
      <c r="N85" s="24"/>
      <c r="O85" s="24"/>
      <c r="P85" s="24"/>
      <c r="Q85" s="24"/>
      <c r="R85" s="24"/>
      <c r="S85" s="24"/>
      <c r="T85" s="24"/>
    </row>
    <row r="86" spans="1:20" ht="15.75" customHeight="1" x14ac:dyDescent="0.25">
      <c r="A86" s="25"/>
      <c r="B86" s="623"/>
      <c r="C86" s="623"/>
      <c r="D86" s="623"/>
      <c r="E86" s="623"/>
      <c r="F86" s="623"/>
      <c r="G86" s="623"/>
      <c r="H86" s="623"/>
      <c r="I86" s="623"/>
      <c r="J86" s="623"/>
      <c r="K86" s="623"/>
      <c r="L86" s="623"/>
      <c r="M86" s="623"/>
      <c r="N86" s="24"/>
      <c r="O86" s="24"/>
      <c r="P86" s="24"/>
      <c r="Q86" s="24"/>
      <c r="R86" s="24"/>
      <c r="S86" s="24"/>
      <c r="T86" s="24"/>
    </row>
    <row r="87" spans="1:20" ht="15.75" customHeight="1" x14ac:dyDescent="0.25">
      <c r="A87" s="25"/>
      <c r="B87" s="623"/>
      <c r="C87" s="623"/>
      <c r="D87" s="623"/>
      <c r="E87" s="623"/>
      <c r="F87" s="623"/>
      <c r="G87" s="623"/>
      <c r="H87" s="623"/>
      <c r="I87" s="623"/>
      <c r="J87" s="623"/>
      <c r="K87" s="623"/>
      <c r="L87" s="623"/>
      <c r="M87" s="623"/>
      <c r="N87" s="24"/>
      <c r="O87" s="24"/>
      <c r="P87" s="24"/>
      <c r="Q87" s="24"/>
      <c r="R87" s="24"/>
      <c r="S87" s="24"/>
      <c r="T87" s="24"/>
    </row>
    <row r="88" spans="1:20" ht="15.75" customHeight="1" x14ac:dyDescent="0.25">
      <c r="A88" s="25"/>
      <c r="B88" s="623"/>
      <c r="C88" s="623"/>
      <c r="D88" s="623"/>
      <c r="E88" s="623"/>
      <c r="F88" s="623"/>
      <c r="G88" s="623"/>
      <c r="H88" s="623"/>
      <c r="I88" s="623"/>
      <c r="J88" s="623"/>
      <c r="K88" s="623"/>
      <c r="L88" s="623"/>
      <c r="M88" s="623"/>
      <c r="N88" s="24"/>
      <c r="O88" s="24"/>
      <c r="P88" s="24"/>
      <c r="Q88" s="24"/>
      <c r="R88" s="24"/>
      <c r="S88" s="24"/>
      <c r="T88" s="24"/>
    </row>
    <row r="89" spans="1:20" ht="15.75" customHeight="1" x14ac:dyDescent="0.25">
      <c r="A89" s="25"/>
      <c r="B89" s="623"/>
      <c r="C89" s="623"/>
      <c r="D89" s="623"/>
      <c r="E89" s="623"/>
      <c r="F89" s="623"/>
      <c r="G89" s="623"/>
      <c r="H89" s="623"/>
      <c r="I89" s="623"/>
      <c r="J89" s="623"/>
      <c r="K89" s="623"/>
      <c r="L89" s="623"/>
      <c r="M89" s="623"/>
      <c r="N89" s="24"/>
      <c r="O89" s="24"/>
      <c r="P89" s="24"/>
      <c r="Q89" s="24"/>
      <c r="R89" s="24"/>
      <c r="S89" s="24"/>
      <c r="T89" s="24"/>
    </row>
    <row r="90" spans="1:20" ht="15.75" customHeight="1" x14ac:dyDescent="0.25">
      <c r="A90" s="25"/>
      <c r="B90" s="623"/>
      <c r="C90" s="623"/>
      <c r="D90" s="623"/>
      <c r="E90" s="623"/>
      <c r="F90" s="623"/>
      <c r="G90" s="623"/>
      <c r="H90" s="623"/>
      <c r="I90" s="623"/>
      <c r="J90" s="623"/>
      <c r="K90" s="623"/>
      <c r="L90" s="623"/>
      <c r="M90" s="623"/>
      <c r="N90" s="24"/>
      <c r="O90" s="24"/>
      <c r="P90" s="24"/>
      <c r="Q90" s="24"/>
      <c r="R90" s="24"/>
      <c r="S90" s="24"/>
      <c r="T90" s="24"/>
    </row>
    <row r="91" spans="1:20" ht="15.75" customHeight="1" x14ac:dyDescent="0.25">
      <c r="A91" s="25"/>
      <c r="B91" s="623"/>
      <c r="C91" s="623"/>
      <c r="D91" s="623"/>
      <c r="E91" s="623"/>
      <c r="F91" s="623"/>
      <c r="G91" s="623"/>
      <c r="H91" s="623"/>
      <c r="I91" s="623"/>
      <c r="J91" s="623"/>
      <c r="K91" s="623"/>
      <c r="L91" s="623"/>
      <c r="M91" s="623"/>
      <c r="N91" s="24"/>
      <c r="O91" s="24"/>
      <c r="P91" s="24"/>
      <c r="Q91" s="24"/>
      <c r="R91" s="24"/>
      <c r="S91" s="24"/>
      <c r="T91" s="24"/>
    </row>
    <row r="92" spans="1:20" ht="15.75" customHeight="1" x14ac:dyDescent="0.25">
      <c r="A92" s="25"/>
      <c r="B92" s="623"/>
      <c r="C92" s="623"/>
      <c r="D92" s="623"/>
      <c r="E92" s="623"/>
      <c r="F92" s="623"/>
      <c r="G92" s="623"/>
      <c r="H92" s="623"/>
      <c r="I92" s="623"/>
      <c r="J92" s="623"/>
      <c r="K92" s="623"/>
      <c r="L92" s="623"/>
      <c r="M92" s="623"/>
      <c r="N92" s="24"/>
      <c r="O92" s="24"/>
      <c r="P92" s="24"/>
      <c r="Q92" s="24"/>
      <c r="R92" s="24"/>
      <c r="S92" s="24"/>
      <c r="T92" s="24"/>
    </row>
    <row r="93" spans="1:20" ht="15.75" customHeight="1" x14ac:dyDescent="0.25">
      <c r="A93" s="25"/>
      <c r="B93" s="623"/>
      <c r="C93" s="623"/>
      <c r="D93" s="623"/>
      <c r="E93" s="623"/>
      <c r="F93" s="623"/>
      <c r="G93" s="623"/>
      <c r="H93" s="623"/>
      <c r="I93" s="623"/>
      <c r="J93" s="623"/>
      <c r="K93" s="623"/>
      <c r="L93" s="623"/>
      <c r="M93" s="623"/>
      <c r="N93" s="24"/>
      <c r="O93" s="24"/>
      <c r="P93" s="24"/>
      <c r="Q93" s="24"/>
      <c r="R93" s="24"/>
      <c r="S93" s="24"/>
      <c r="T93" s="24"/>
    </row>
    <row r="94" spans="1:20" ht="15.75" customHeight="1" x14ac:dyDescent="0.25">
      <c r="A94" s="25"/>
      <c r="B94" s="623"/>
      <c r="C94" s="623"/>
      <c r="D94" s="623"/>
      <c r="E94" s="623"/>
      <c r="F94" s="623"/>
      <c r="G94" s="623"/>
      <c r="H94" s="623"/>
      <c r="I94" s="623"/>
      <c r="J94" s="623"/>
      <c r="K94" s="623"/>
      <c r="L94" s="623"/>
      <c r="M94" s="623"/>
      <c r="N94" s="24"/>
      <c r="O94" s="24"/>
      <c r="P94" s="24"/>
      <c r="Q94" s="24"/>
      <c r="R94" s="24"/>
      <c r="S94" s="24"/>
      <c r="T94" s="24"/>
    </row>
    <row r="95" spans="1:20" ht="15.75" customHeight="1" x14ac:dyDescent="0.25">
      <c r="A95" s="25"/>
      <c r="B95" s="623"/>
      <c r="C95" s="623"/>
      <c r="D95" s="623"/>
      <c r="E95" s="623"/>
      <c r="F95" s="623"/>
      <c r="G95" s="623"/>
      <c r="H95" s="623"/>
      <c r="I95" s="623"/>
      <c r="J95" s="623"/>
      <c r="K95" s="623"/>
      <c r="L95" s="623"/>
      <c r="M95" s="623"/>
      <c r="N95" s="24"/>
      <c r="O95" s="24"/>
      <c r="P95" s="24"/>
      <c r="Q95" s="24"/>
      <c r="R95" s="24"/>
      <c r="S95" s="24"/>
      <c r="T95" s="24"/>
    </row>
    <row r="96" spans="1:20" ht="15.75" customHeight="1" x14ac:dyDescent="0.25">
      <c r="A96" s="25"/>
      <c r="B96" s="623"/>
      <c r="C96" s="623"/>
      <c r="D96" s="623"/>
      <c r="E96" s="623"/>
      <c r="F96" s="623"/>
      <c r="G96" s="623"/>
      <c r="H96" s="623"/>
      <c r="I96" s="623"/>
      <c r="J96" s="623"/>
      <c r="K96" s="623"/>
      <c r="L96" s="623"/>
      <c r="M96" s="623"/>
      <c r="N96" s="24"/>
      <c r="O96" s="24"/>
      <c r="P96" s="24"/>
      <c r="Q96" s="24"/>
      <c r="R96" s="24"/>
      <c r="S96" s="24"/>
      <c r="T96" s="24"/>
    </row>
    <row r="97" spans="1:20" ht="15.75" customHeight="1" x14ac:dyDescent="0.25">
      <c r="A97" s="25"/>
      <c r="B97" s="623"/>
      <c r="C97" s="623"/>
      <c r="D97" s="623"/>
      <c r="E97" s="623"/>
      <c r="F97" s="623"/>
      <c r="G97" s="623"/>
      <c r="H97" s="623"/>
      <c r="I97" s="623"/>
      <c r="J97" s="623"/>
      <c r="K97" s="623"/>
      <c r="L97" s="623"/>
      <c r="M97" s="623"/>
      <c r="N97" s="24"/>
      <c r="O97" s="24"/>
      <c r="P97" s="24"/>
      <c r="Q97" s="24"/>
      <c r="R97" s="24"/>
      <c r="S97" s="24"/>
      <c r="T97" s="24"/>
    </row>
    <row r="98" spans="1:20" ht="15.75" customHeight="1" x14ac:dyDescent="0.25">
      <c r="A98" s="25"/>
      <c r="B98" s="623"/>
      <c r="C98" s="623"/>
      <c r="D98" s="623"/>
      <c r="E98" s="623"/>
      <c r="F98" s="623"/>
      <c r="G98" s="623"/>
      <c r="H98" s="623"/>
      <c r="I98" s="623"/>
      <c r="J98" s="623"/>
      <c r="K98" s="623"/>
      <c r="L98" s="623"/>
      <c r="M98" s="623"/>
      <c r="N98" s="24"/>
      <c r="O98" s="24"/>
      <c r="P98" s="24"/>
      <c r="Q98" s="24"/>
      <c r="R98" s="24"/>
      <c r="S98" s="24"/>
      <c r="T98" s="24"/>
    </row>
    <row r="99" spans="1:20" ht="15.75" customHeight="1" x14ac:dyDescent="0.25">
      <c r="A99" s="25"/>
      <c r="B99" s="623"/>
      <c r="C99" s="623"/>
      <c r="D99" s="623"/>
      <c r="E99" s="623"/>
      <c r="F99" s="623"/>
      <c r="G99" s="623"/>
      <c r="H99" s="623"/>
      <c r="I99" s="623"/>
      <c r="J99" s="623"/>
      <c r="K99" s="623"/>
      <c r="L99" s="623"/>
      <c r="M99" s="623"/>
      <c r="N99" s="24"/>
      <c r="O99" s="24"/>
      <c r="P99" s="24"/>
      <c r="Q99" s="24"/>
      <c r="R99" s="24"/>
      <c r="S99" s="24"/>
      <c r="T99" s="24"/>
    </row>
    <row r="100" spans="1:20" ht="15.75" customHeight="1" x14ac:dyDescent="0.25">
      <c r="A100" s="25"/>
      <c r="B100" s="623"/>
      <c r="C100" s="623"/>
      <c r="D100" s="623"/>
      <c r="E100" s="623"/>
      <c r="F100" s="623"/>
      <c r="G100" s="623"/>
      <c r="H100" s="623"/>
      <c r="I100" s="623"/>
      <c r="J100" s="623"/>
      <c r="K100" s="623"/>
      <c r="L100" s="623"/>
      <c r="M100" s="623"/>
      <c r="N100" s="24"/>
      <c r="O100" s="24"/>
      <c r="P100" s="24"/>
      <c r="Q100" s="24"/>
      <c r="R100" s="24"/>
      <c r="S100" s="24"/>
      <c r="T100" s="24"/>
    </row>
    <row r="101" spans="1:20" ht="15.75" customHeight="1" x14ac:dyDescent="0.25">
      <c r="A101" s="25"/>
      <c r="B101" s="623"/>
      <c r="C101" s="623"/>
      <c r="D101" s="623"/>
      <c r="E101" s="623"/>
      <c r="F101" s="623"/>
      <c r="G101" s="623"/>
      <c r="H101" s="623"/>
      <c r="I101" s="623"/>
      <c r="J101" s="623"/>
      <c r="K101" s="623"/>
      <c r="L101" s="623"/>
      <c r="M101" s="623"/>
      <c r="N101" s="24"/>
      <c r="O101" s="24"/>
      <c r="P101" s="24"/>
      <c r="Q101" s="24"/>
      <c r="R101" s="24"/>
      <c r="S101" s="24"/>
      <c r="T101" s="24"/>
    </row>
    <row r="102" spans="1:20" ht="15.75" customHeight="1" x14ac:dyDescent="0.25">
      <c r="A102" s="25"/>
      <c r="B102" s="623"/>
      <c r="C102" s="623"/>
      <c r="D102" s="623"/>
      <c r="E102" s="623"/>
      <c r="F102" s="623"/>
      <c r="G102" s="623"/>
      <c r="H102" s="623"/>
      <c r="I102" s="623"/>
      <c r="J102" s="623"/>
      <c r="K102" s="623"/>
      <c r="L102" s="623"/>
      <c r="M102" s="623"/>
      <c r="N102" s="24"/>
      <c r="O102" s="24"/>
      <c r="P102" s="24"/>
      <c r="Q102" s="24"/>
      <c r="R102" s="24"/>
      <c r="S102" s="24"/>
      <c r="T102" s="24"/>
    </row>
    <row r="103" spans="1:20" ht="15.75" customHeight="1" x14ac:dyDescent="0.25">
      <c r="A103" s="25"/>
      <c r="B103" s="623"/>
      <c r="C103" s="623"/>
      <c r="D103" s="623"/>
      <c r="E103" s="623"/>
      <c r="F103" s="623"/>
      <c r="G103" s="623"/>
      <c r="H103" s="623"/>
      <c r="I103" s="623"/>
      <c r="J103" s="623"/>
      <c r="K103" s="623"/>
      <c r="L103" s="623"/>
      <c r="M103" s="623"/>
      <c r="N103" s="24"/>
      <c r="O103" s="24"/>
      <c r="P103" s="24"/>
      <c r="Q103" s="24"/>
      <c r="R103" s="24"/>
      <c r="S103" s="24"/>
      <c r="T103" s="24"/>
    </row>
    <row r="104" spans="1:20" ht="15.75" customHeight="1" x14ac:dyDescent="0.25">
      <c r="A104" s="25"/>
      <c r="B104" s="623"/>
      <c r="C104" s="623"/>
      <c r="D104" s="623"/>
      <c r="E104" s="623"/>
      <c r="F104" s="623"/>
      <c r="G104" s="623"/>
      <c r="H104" s="623"/>
      <c r="I104" s="623"/>
      <c r="J104" s="623"/>
      <c r="K104" s="623"/>
      <c r="L104" s="623"/>
      <c r="M104" s="623"/>
      <c r="N104" s="24"/>
      <c r="O104" s="24"/>
      <c r="P104" s="24"/>
      <c r="Q104" s="24"/>
      <c r="R104" s="24"/>
      <c r="S104" s="24"/>
      <c r="T104" s="24"/>
    </row>
    <row r="105" spans="1:20" ht="15.75" customHeight="1" x14ac:dyDescent="0.25">
      <c r="A105" s="25"/>
      <c r="B105" s="623"/>
      <c r="C105" s="623"/>
      <c r="D105" s="623"/>
      <c r="E105" s="623"/>
      <c r="F105" s="623"/>
      <c r="G105" s="623"/>
      <c r="H105" s="623"/>
      <c r="I105" s="623"/>
      <c r="J105" s="623"/>
      <c r="K105" s="623"/>
      <c r="L105" s="623"/>
      <c r="M105" s="623"/>
      <c r="N105" s="24"/>
      <c r="O105" s="24"/>
      <c r="P105" s="24"/>
      <c r="Q105" s="24"/>
      <c r="R105" s="24"/>
      <c r="S105" s="24"/>
      <c r="T105" s="24"/>
    </row>
    <row r="106" spans="1:20" ht="15.75" customHeight="1" x14ac:dyDescent="0.25">
      <c r="A106" s="25"/>
      <c r="B106" s="623"/>
      <c r="C106" s="623"/>
      <c r="D106" s="623"/>
      <c r="E106" s="623"/>
      <c r="F106" s="623"/>
      <c r="G106" s="623"/>
      <c r="H106" s="623"/>
      <c r="I106" s="623"/>
      <c r="J106" s="623"/>
      <c r="K106" s="623"/>
      <c r="L106" s="623"/>
      <c r="M106" s="623"/>
      <c r="N106" s="24"/>
      <c r="O106" s="24"/>
      <c r="P106" s="24"/>
      <c r="Q106" s="24"/>
      <c r="R106" s="24"/>
      <c r="S106" s="24"/>
      <c r="T106" s="24"/>
    </row>
    <row r="107" spans="1:20" ht="15.75" customHeight="1" x14ac:dyDescent="0.25">
      <c r="A107" s="25"/>
      <c r="B107" s="623"/>
      <c r="C107" s="623"/>
      <c r="D107" s="623"/>
      <c r="E107" s="623"/>
      <c r="F107" s="623"/>
      <c r="G107" s="623"/>
      <c r="H107" s="623"/>
      <c r="I107" s="623"/>
      <c r="J107" s="623"/>
      <c r="K107" s="623"/>
      <c r="L107" s="623"/>
      <c r="M107" s="623"/>
      <c r="N107" s="24"/>
      <c r="O107" s="24"/>
      <c r="P107" s="24"/>
      <c r="Q107" s="24"/>
      <c r="R107" s="24"/>
      <c r="S107" s="24"/>
      <c r="T107" s="24"/>
    </row>
    <row r="108" spans="1:20" ht="15.75" customHeight="1" x14ac:dyDescent="0.25">
      <c r="A108" s="25"/>
      <c r="B108" s="623"/>
      <c r="C108" s="623"/>
      <c r="D108" s="623"/>
      <c r="E108" s="623"/>
      <c r="F108" s="623"/>
      <c r="G108" s="623"/>
      <c r="H108" s="623"/>
      <c r="I108" s="623"/>
      <c r="J108" s="623"/>
      <c r="K108" s="623"/>
      <c r="L108" s="623"/>
      <c r="M108" s="623"/>
      <c r="N108" s="24"/>
      <c r="O108" s="24"/>
      <c r="P108" s="24"/>
      <c r="Q108" s="24"/>
      <c r="R108" s="24"/>
      <c r="S108" s="24"/>
      <c r="T108" s="24"/>
    </row>
    <row r="109" spans="1:20" ht="15.75" customHeight="1" x14ac:dyDescent="0.25">
      <c r="A109" s="25"/>
      <c r="B109" s="623"/>
      <c r="C109" s="623"/>
      <c r="D109" s="623"/>
      <c r="E109" s="623"/>
      <c r="F109" s="623"/>
      <c r="G109" s="623"/>
      <c r="H109" s="623"/>
      <c r="I109" s="623"/>
      <c r="J109" s="623"/>
      <c r="K109" s="623"/>
      <c r="L109" s="623"/>
      <c r="M109" s="623"/>
      <c r="N109" s="24"/>
      <c r="O109" s="24"/>
      <c r="P109" s="24"/>
      <c r="Q109" s="24"/>
      <c r="R109" s="24"/>
      <c r="S109" s="24"/>
      <c r="T109" s="24"/>
    </row>
    <row r="110" spans="1:20" ht="15.75" customHeight="1" x14ac:dyDescent="0.25">
      <c r="A110" s="25"/>
      <c r="B110" s="623"/>
      <c r="C110" s="623"/>
      <c r="D110" s="623"/>
      <c r="E110" s="623"/>
      <c r="F110" s="623"/>
      <c r="G110" s="623"/>
      <c r="H110" s="623"/>
      <c r="I110" s="623"/>
      <c r="J110" s="623"/>
      <c r="K110" s="623"/>
      <c r="L110" s="623"/>
      <c r="M110" s="623"/>
      <c r="N110" s="24"/>
      <c r="O110" s="24"/>
      <c r="P110" s="24"/>
      <c r="Q110" s="24"/>
      <c r="R110" s="24"/>
      <c r="S110" s="24"/>
      <c r="T110" s="24"/>
    </row>
    <row r="111" spans="1:20" ht="15.75" customHeight="1" x14ac:dyDescent="0.25">
      <c r="A111" s="25"/>
      <c r="B111" s="623"/>
      <c r="C111" s="623"/>
      <c r="D111" s="623"/>
      <c r="E111" s="623"/>
      <c r="F111" s="623"/>
      <c r="G111" s="623"/>
      <c r="H111" s="623"/>
      <c r="I111" s="623"/>
      <c r="J111" s="623"/>
      <c r="K111" s="623"/>
      <c r="L111" s="623"/>
      <c r="M111" s="623"/>
      <c r="N111" s="24"/>
      <c r="O111" s="24"/>
      <c r="P111" s="24"/>
      <c r="Q111" s="24"/>
      <c r="R111" s="24"/>
      <c r="S111" s="24"/>
      <c r="T111" s="24"/>
    </row>
    <row r="112" spans="1:20" ht="15.75" customHeight="1" x14ac:dyDescent="0.25">
      <c r="A112" s="25"/>
      <c r="B112" s="623"/>
      <c r="C112" s="623"/>
      <c r="D112" s="623"/>
      <c r="E112" s="623"/>
      <c r="F112" s="623"/>
      <c r="G112" s="623"/>
      <c r="H112" s="623"/>
      <c r="I112" s="623"/>
      <c r="J112" s="623"/>
      <c r="K112" s="623"/>
      <c r="L112" s="623"/>
      <c r="M112" s="623"/>
      <c r="N112" s="24"/>
      <c r="O112" s="24"/>
      <c r="P112" s="24"/>
      <c r="Q112" s="24"/>
      <c r="R112" s="24"/>
      <c r="S112" s="24"/>
      <c r="T112" s="24"/>
    </row>
    <row r="113" spans="1:20" ht="15.75" customHeight="1" x14ac:dyDescent="0.25">
      <c r="A113" s="25"/>
      <c r="B113" s="623"/>
      <c r="C113" s="623"/>
      <c r="D113" s="623"/>
      <c r="E113" s="623"/>
      <c r="F113" s="623"/>
      <c r="G113" s="623"/>
      <c r="H113" s="623"/>
      <c r="I113" s="623"/>
      <c r="J113" s="623"/>
      <c r="K113" s="623"/>
      <c r="L113" s="623"/>
      <c r="M113" s="623"/>
      <c r="N113" s="24"/>
      <c r="O113" s="24"/>
      <c r="P113" s="24"/>
      <c r="Q113" s="24"/>
      <c r="R113" s="24"/>
      <c r="S113" s="24"/>
      <c r="T113" s="24"/>
    </row>
    <row r="114" spans="1:20" ht="15.75" customHeight="1" x14ac:dyDescent="0.25">
      <c r="A114" s="25"/>
      <c r="B114" s="623"/>
      <c r="C114" s="623"/>
      <c r="D114" s="623"/>
      <c r="E114" s="623"/>
      <c r="F114" s="623"/>
      <c r="G114" s="623"/>
      <c r="H114" s="623"/>
      <c r="I114" s="623"/>
      <c r="J114" s="623"/>
      <c r="K114" s="623"/>
      <c r="L114" s="623"/>
      <c r="M114" s="623"/>
      <c r="N114" s="24"/>
      <c r="O114" s="24"/>
      <c r="P114" s="24"/>
      <c r="Q114" s="24"/>
      <c r="R114" s="24"/>
      <c r="S114" s="24"/>
      <c r="T114" s="24"/>
    </row>
    <row r="115" spans="1:20" ht="15.75" customHeight="1" x14ac:dyDescent="0.25">
      <c r="A115" s="25"/>
      <c r="B115" s="623"/>
      <c r="C115" s="623"/>
      <c r="D115" s="623"/>
      <c r="E115" s="623"/>
      <c r="F115" s="623"/>
      <c r="G115" s="623"/>
      <c r="H115" s="623"/>
      <c r="I115" s="623"/>
      <c r="J115" s="623"/>
      <c r="K115" s="623"/>
      <c r="L115" s="623"/>
      <c r="M115" s="623"/>
      <c r="N115" s="24"/>
      <c r="O115" s="24"/>
      <c r="P115" s="24"/>
      <c r="Q115" s="24"/>
      <c r="R115" s="24"/>
      <c r="S115" s="24"/>
      <c r="T115" s="24"/>
    </row>
    <row r="116" spans="1:20" ht="15.75" customHeight="1" x14ac:dyDescent="0.25">
      <c r="A116" s="25"/>
      <c r="B116" s="623"/>
      <c r="C116" s="623"/>
      <c r="D116" s="623"/>
      <c r="E116" s="623"/>
      <c r="F116" s="623"/>
      <c r="G116" s="623"/>
      <c r="H116" s="623"/>
      <c r="I116" s="623"/>
      <c r="J116" s="623"/>
      <c r="K116" s="623"/>
      <c r="L116" s="623"/>
      <c r="M116" s="623"/>
      <c r="N116" s="24"/>
      <c r="O116" s="24"/>
      <c r="P116" s="24"/>
      <c r="Q116" s="24"/>
      <c r="R116" s="24"/>
      <c r="S116" s="24"/>
      <c r="T116" s="24"/>
    </row>
    <row r="117" spans="1:20" ht="15.75" customHeight="1" x14ac:dyDescent="0.25">
      <c r="A117" s="25"/>
      <c r="B117" s="623"/>
      <c r="C117" s="623"/>
      <c r="D117" s="623"/>
      <c r="E117" s="623"/>
      <c r="F117" s="623"/>
      <c r="G117" s="623"/>
      <c r="H117" s="623"/>
      <c r="I117" s="623"/>
      <c r="J117" s="623"/>
      <c r="K117" s="623"/>
      <c r="L117" s="623"/>
      <c r="M117" s="623"/>
      <c r="N117" s="24"/>
      <c r="O117" s="24"/>
      <c r="P117" s="24"/>
      <c r="Q117" s="24"/>
      <c r="R117" s="24"/>
      <c r="S117" s="24"/>
      <c r="T117" s="24"/>
    </row>
    <row r="118" spans="1:20" ht="15.75" customHeight="1" x14ac:dyDescent="0.25">
      <c r="A118" s="25"/>
      <c r="B118" s="623"/>
      <c r="C118" s="623"/>
      <c r="D118" s="623"/>
      <c r="E118" s="623"/>
      <c r="F118" s="623"/>
      <c r="G118" s="623"/>
      <c r="H118" s="623"/>
      <c r="I118" s="623"/>
      <c r="J118" s="623"/>
      <c r="K118" s="623"/>
      <c r="L118" s="623"/>
      <c r="M118" s="623"/>
      <c r="N118" s="24"/>
      <c r="O118" s="24"/>
      <c r="P118" s="24"/>
      <c r="Q118" s="24"/>
      <c r="R118" s="24"/>
      <c r="S118" s="24"/>
      <c r="T118" s="24"/>
    </row>
    <row r="119" spans="1:20" ht="15.75" customHeight="1" x14ac:dyDescent="0.25">
      <c r="A119" s="25"/>
      <c r="B119" s="623"/>
      <c r="C119" s="623"/>
      <c r="D119" s="623"/>
      <c r="E119" s="623"/>
      <c r="F119" s="623"/>
      <c r="G119" s="623"/>
      <c r="H119" s="623"/>
      <c r="I119" s="623"/>
      <c r="J119" s="623"/>
      <c r="K119" s="623"/>
      <c r="L119" s="623"/>
      <c r="M119" s="623"/>
      <c r="N119" s="24"/>
      <c r="O119" s="24"/>
      <c r="P119" s="24"/>
      <c r="Q119" s="24"/>
      <c r="R119" s="24"/>
      <c r="S119" s="24"/>
      <c r="T119" s="24"/>
    </row>
    <row r="120" spans="1:20" ht="15.75" customHeight="1" x14ac:dyDescent="0.25">
      <c r="A120" s="25"/>
      <c r="B120" s="623"/>
      <c r="C120" s="623"/>
      <c r="D120" s="623"/>
      <c r="E120" s="623"/>
      <c r="F120" s="623"/>
      <c r="G120" s="623"/>
      <c r="H120" s="623"/>
      <c r="I120" s="623"/>
      <c r="J120" s="623"/>
      <c r="K120" s="623"/>
      <c r="L120" s="623"/>
      <c r="M120" s="623"/>
      <c r="N120" s="24"/>
      <c r="O120" s="24"/>
      <c r="P120" s="24"/>
      <c r="Q120" s="24"/>
      <c r="R120" s="24"/>
      <c r="S120" s="24"/>
      <c r="T120" s="24"/>
    </row>
    <row r="121" spans="1:20" ht="15.75" customHeight="1" x14ac:dyDescent="0.25">
      <c r="A121" s="25"/>
      <c r="B121" s="623"/>
      <c r="C121" s="623"/>
      <c r="D121" s="623"/>
      <c r="E121" s="623"/>
      <c r="F121" s="623"/>
      <c r="G121" s="623"/>
      <c r="H121" s="623"/>
      <c r="I121" s="623"/>
      <c r="J121" s="623"/>
      <c r="K121" s="623"/>
      <c r="L121" s="623"/>
      <c r="M121" s="623"/>
      <c r="N121" s="24"/>
      <c r="O121" s="24"/>
      <c r="P121" s="24"/>
      <c r="Q121" s="24"/>
      <c r="R121" s="24"/>
      <c r="S121" s="24"/>
      <c r="T121" s="24"/>
    </row>
    <row r="122" spans="1:20" ht="15.75" customHeight="1" x14ac:dyDescent="0.25">
      <c r="A122" s="25"/>
      <c r="B122" s="623"/>
      <c r="C122" s="623"/>
      <c r="D122" s="623"/>
      <c r="E122" s="623"/>
      <c r="F122" s="623"/>
      <c r="G122" s="623"/>
      <c r="H122" s="623"/>
      <c r="I122" s="623"/>
      <c r="J122" s="623"/>
      <c r="K122" s="623"/>
      <c r="L122" s="623"/>
      <c r="M122" s="623"/>
      <c r="N122" s="24"/>
      <c r="O122" s="24"/>
      <c r="P122" s="24"/>
      <c r="Q122" s="24"/>
      <c r="R122" s="24"/>
      <c r="S122" s="24"/>
      <c r="T122" s="24"/>
    </row>
    <row r="123" spans="1:20" ht="15.75" customHeight="1" x14ac:dyDescent="0.25">
      <c r="A123" s="25"/>
      <c r="B123" s="623"/>
      <c r="C123" s="623"/>
      <c r="D123" s="623"/>
      <c r="E123" s="623"/>
      <c r="F123" s="623"/>
      <c r="G123" s="623"/>
      <c r="H123" s="623"/>
      <c r="I123" s="623"/>
      <c r="J123" s="623"/>
      <c r="K123" s="623"/>
      <c r="L123" s="623"/>
      <c r="M123" s="623"/>
      <c r="N123" s="24"/>
      <c r="O123" s="24"/>
      <c r="P123" s="24"/>
      <c r="Q123" s="24"/>
      <c r="R123" s="24"/>
      <c r="S123" s="24"/>
      <c r="T123" s="24"/>
    </row>
    <row r="124" spans="1:20" ht="15.75" customHeight="1" x14ac:dyDescent="0.25">
      <c r="A124" s="25"/>
      <c r="B124" s="623"/>
      <c r="C124" s="623"/>
      <c r="D124" s="623"/>
      <c r="E124" s="623"/>
      <c r="F124" s="623"/>
      <c r="G124" s="623"/>
      <c r="H124" s="623"/>
      <c r="I124" s="623"/>
      <c r="J124" s="623"/>
      <c r="K124" s="623"/>
      <c r="L124" s="623"/>
      <c r="M124" s="623"/>
      <c r="N124" s="24"/>
      <c r="O124" s="24"/>
      <c r="P124" s="24"/>
      <c r="Q124" s="24"/>
      <c r="R124" s="24"/>
      <c r="S124" s="24"/>
      <c r="T124" s="24"/>
    </row>
    <row r="125" spans="1:20" ht="15.75" customHeight="1" x14ac:dyDescent="0.25">
      <c r="A125" s="25"/>
      <c r="B125" s="623"/>
      <c r="C125" s="623"/>
      <c r="D125" s="623"/>
      <c r="E125" s="623"/>
      <c r="F125" s="623"/>
      <c r="G125" s="623"/>
      <c r="H125" s="623"/>
      <c r="I125" s="623"/>
      <c r="J125" s="623"/>
      <c r="K125" s="623"/>
      <c r="L125" s="623"/>
      <c r="M125" s="623"/>
      <c r="N125" s="24"/>
      <c r="O125" s="24"/>
      <c r="P125" s="24"/>
      <c r="Q125" s="24"/>
      <c r="R125" s="24"/>
      <c r="S125" s="24"/>
      <c r="T125" s="24"/>
    </row>
    <row r="126" spans="1:20" ht="15.75" customHeight="1" x14ac:dyDescent="0.25">
      <c r="A126" s="25"/>
      <c r="B126" s="623"/>
      <c r="C126" s="623"/>
      <c r="D126" s="623"/>
      <c r="E126" s="623"/>
      <c r="F126" s="623"/>
      <c r="G126" s="623"/>
      <c r="H126" s="623"/>
      <c r="I126" s="623"/>
      <c r="J126" s="623"/>
      <c r="K126" s="623"/>
      <c r="L126" s="623"/>
      <c r="M126" s="623"/>
      <c r="N126" s="24"/>
      <c r="O126" s="24"/>
      <c r="P126" s="24"/>
      <c r="Q126" s="24"/>
      <c r="R126" s="24"/>
      <c r="S126" s="24"/>
      <c r="T126" s="24"/>
    </row>
    <row r="127" spans="1:20" ht="15.75" customHeight="1" x14ac:dyDescent="0.25">
      <c r="A127" s="25"/>
      <c r="B127" s="623"/>
      <c r="C127" s="623"/>
      <c r="D127" s="623"/>
      <c r="E127" s="623"/>
      <c r="F127" s="623"/>
      <c r="G127" s="623"/>
      <c r="H127" s="623"/>
      <c r="I127" s="623"/>
      <c r="J127" s="623"/>
      <c r="K127" s="623"/>
      <c r="L127" s="623"/>
      <c r="M127" s="623"/>
      <c r="N127" s="24"/>
      <c r="O127" s="24"/>
      <c r="P127" s="24"/>
      <c r="Q127" s="24"/>
      <c r="R127" s="24"/>
      <c r="S127" s="24"/>
      <c r="T127" s="24"/>
    </row>
    <row r="128" spans="1:20" ht="15.75" customHeight="1" x14ac:dyDescent="0.25">
      <c r="A128" s="25"/>
      <c r="B128" s="623"/>
      <c r="C128" s="623"/>
      <c r="D128" s="623"/>
      <c r="E128" s="623"/>
      <c r="F128" s="623"/>
      <c r="G128" s="623"/>
      <c r="H128" s="623"/>
      <c r="I128" s="623"/>
      <c r="J128" s="623"/>
      <c r="K128" s="623"/>
      <c r="L128" s="623"/>
      <c r="M128" s="623"/>
      <c r="N128" s="24"/>
      <c r="O128" s="24"/>
      <c r="P128" s="24"/>
      <c r="Q128" s="24"/>
      <c r="R128" s="24"/>
      <c r="S128" s="24"/>
      <c r="T128" s="24"/>
    </row>
    <row r="129" spans="1:20" ht="15.75" customHeight="1" x14ac:dyDescent="0.25">
      <c r="A129" s="25"/>
      <c r="B129" s="623"/>
      <c r="C129" s="623"/>
      <c r="D129" s="623"/>
      <c r="E129" s="623"/>
      <c r="F129" s="623"/>
      <c r="G129" s="623"/>
      <c r="H129" s="623"/>
      <c r="I129" s="623"/>
      <c r="J129" s="623"/>
      <c r="K129" s="623"/>
      <c r="L129" s="623"/>
      <c r="M129" s="623"/>
      <c r="N129" s="24"/>
      <c r="O129" s="24"/>
      <c r="P129" s="24"/>
      <c r="Q129" s="24"/>
      <c r="R129" s="24"/>
      <c r="S129" s="24"/>
      <c r="T129" s="24"/>
    </row>
    <row r="130" spans="1:20" ht="15.75" customHeight="1" x14ac:dyDescent="0.25">
      <c r="A130" s="25"/>
      <c r="B130" s="623"/>
      <c r="C130" s="623"/>
      <c r="D130" s="623"/>
      <c r="E130" s="623"/>
      <c r="F130" s="623"/>
      <c r="G130" s="623"/>
      <c r="H130" s="623"/>
      <c r="I130" s="623"/>
      <c r="J130" s="623"/>
      <c r="K130" s="623"/>
      <c r="L130" s="623"/>
      <c r="M130" s="623"/>
      <c r="N130" s="24"/>
      <c r="O130" s="24"/>
      <c r="P130" s="24"/>
      <c r="Q130" s="24"/>
      <c r="R130" s="24"/>
      <c r="S130" s="24"/>
      <c r="T130" s="24"/>
    </row>
    <row r="131" spans="1:20" ht="15.75" customHeight="1" x14ac:dyDescent="0.25">
      <c r="A131" s="25"/>
      <c r="B131" s="623"/>
      <c r="C131" s="623"/>
      <c r="D131" s="623"/>
      <c r="E131" s="623"/>
      <c r="F131" s="623"/>
      <c r="G131" s="623"/>
      <c r="H131" s="623"/>
      <c r="I131" s="623"/>
      <c r="J131" s="623"/>
      <c r="K131" s="623"/>
      <c r="L131" s="623"/>
      <c r="M131" s="623"/>
      <c r="N131" s="24"/>
      <c r="O131" s="24"/>
      <c r="P131" s="24"/>
      <c r="Q131" s="24"/>
      <c r="R131" s="24"/>
      <c r="S131" s="24"/>
      <c r="T131" s="24"/>
    </row>
    <row r="132" spans="1:20" ht="15.75" customHeight="1" x14ac:dyDescent="0.25">
      <c r="A132" s="25"/>
      <c r="B132" s="623"/>
      <c r="C132" s="623"/>
      <c r="D132" s="623"/>
      <c r="E132" s="623"/>
      <c r="F132" s="623"/>
      <c r="G132" s="623"/>
      <c r="H132" s="623"/>
      <c r="I132" s="623"/>
      <c r="J132" s="623"/>
      <c r="K132" s="623"/>
      <c r="L132" s="623"/>
      <c r="M132" s="623"/>
      <c r="N132" s="24"/>
      <c r="O132" s="24"/>
      <c r="P132" s="24"/>
      <c r="Q132" s="24"/>
      <c r="R132" s="24"/>
      <c r="S132" s="24"/>
      <c r="T132" s="24"/>
    </row>
    <row r="133" spans="1:20" ht="15.75" customHeight="1" x14ac:dyDescent="0.25">
      <c r="A133" s="25"/>
      <c r="B133" s="623"/>
      <c r="C133" s="623"/>
      <c r="D133" s="623"/>
      <c r="E133" s="623"/>
      <c r="F133" s="623"/>
      <c r="G133" s="623"/>
      <c r="H133" s="623"/>
      <c r="I133" s="623"/>
      <c r="J133" s="623"/>
      <c r="K133" s="623"/>
      <c r="L133" s="623"/>
      <c r="M133" s="623"/>
      <c r="N133" s="24"/>
      <c r="O133" s="24"/>
      <c r="P133" s="24"/>
      <c r="Q133" s="24"/>
      <c r="R133" s="24"/>
      <c r="S133" s="24"/>
      <c r="T133" s="24"/>
    </row>
    <row r="134" spans="1:20" ht="15.75" customHeight="1" x14ac:dyDescent="0.25">
      <c r="A134" s="25"/>
      <c r="B134" s="623"/>
      <c r="C134" s="623"/>
      <c r="D134" s="623"/>
      <c r="E134" s="623"/>
      <c r="F134" s="623"/>
      <c r="G134" s="623"/>
      <c r="H134" s="623"/>
      <c r="I134" s="623"/>
      <c r="J134" s="623"/>
      <c r="K134" s="623"/>
      <c r="L134" s="623"/>
      <c r="M134" s="623"/>
      <c r="N134" s="24"/>
      <c r="O134" s="24"/>
      <c r="P134" s="24"/>
      <c r="Q134" s="24"/>
      <c r="R134" s="24"/>
      <c r="S134" s="24"/>
      <c r="T134" s="24"/>
    </row>
    <row r="135" spans="1:20" ht="15.75" customHeight="1" x14ac:dyDescent="0.25">
      <c r="A135" s="25"/>
      <c r="B135" s="623"/>
      <c r="C135" s="623"/>
      <c r="D135" s="623"/>
      <c r="E135" s="623"/>
      <c r="F135" s="623"/>
      <c r="G135" s="623"/>
      <c r="H135" s="623"/>
      <c r="I135" s="623"/>
      <c r="J135" s="623"/>
      <c r="K135" s="623"/>
      <c r="L135" s="623"/>
      <c r="M135" s="623"/>
      <c r="N135" s="24"/>
      <c r="O135" s="24"/>
      <c r="P135" s="24"/>
      <c r="Q135" s="24"/>
      <c r="R135" s="24"/>
      <c r="S135" s="24"/>
      <c r="T135" s="24"/>
    </row>
    <row r="136" spans="1:20" ht="15.75" customHeight="1" x14ac:dyDescent="0.25">
      <c r="A136" s="25"/>
      <c r="B136" s="623"/>
      <c r="C136" s="623"/>
      <c r="D136" s="623"/>
      <c r="E136" s="623"/>
      <c r="F136" s="623"/>
      <c r="G136" s="623"/>
      <c r="H136" s="623"/>
      <c r="I136" s="623"/>
      <c r="J136" s="623"/>
      <c r="K136" s="623"/>
      <c r="L136" s="623"/>
      <c r="M136" s="623"/>
      <c r="N136" s="24"/>
      <c r="O136" s="24"/>
      <c r="P136" s="24"/>
      <c r="Q136" s="24"/>
      <c r="R136" s="24"/>
      <c r="S136" s="24"/>
      <c r="T136" s="24"/>
    </row>
  </sheetData>
  <mergeCells count="4">
    <mergeCell ref="B1:M1"/>
    <mergeCell ref="B46:D46"/>
    <mergeCell ref="B47:M136"/>
    <mergeCell ref="O6:T14"/>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7"/>
  <sheetViews>
    <sheetView workbookViewId="0"/>
  </sheetViews>
  <sheetFormatPr defaultColWidth="17.25" defaultRowHeight="15" customHeight="1" x14ac:dyDescent="0.2"/>
  <cols>
    <col min="1" max="1" width="26.625" customWidth="1"/>
    <col min="2" max="2" width="10.75" customWidth="1"/>
    <col min="3" max="3" width="15.625" customWidth="1"/>
    <col min="4" max="4" width="10.75" customWidth="1"/>
    <col min="5" max="5" width="10.375" customWidth="1"/>
    <col min="6" max="6" width="13.875" customWidth="1"/>
    <col min="7" max="7" width="10.75" customWidth="1"/>
    <col min="8" max="8" width="14.625" customWidth="1"/>
    <col min="9" max="9" width="11.125" customWidth="1"/>
    <col min="10" max="12" width="10.75" customWidth="1"/>
    <col min="13" max="20" width="22.75" customWidth="1"/>
  </cols>
  <sheetData>
    <row r="1" spans="1:20" ht="18.75" customHeight="1" x14ac:dyDescent="0.3">
      <c r="A1" s="146"/>
      <c r="B1" s="149" t="s">
        <v>234</v>
      </c>
      <c r="C1" s="166"/>
      <c r="D1" s="166"/>
      <c r="E1" s="166"/>
      <c r="F1" s="166"/>
      <c r="G1" s="166"/>
      <c r="H1" s="166"/>
      <c r="I1" s="166"/>
      <c r="J1" s="166"/>
      <c r="K1" s="166"/>
      <c r="L1" s="166"/>
      <c r="M1" s="168"/>
      <c r="N1" s="168"/>
      <c r="O1" s="168"/>
      <c r="P1" s="168"/>
      <c r="Q1" s="168"/>
      <c r="R1" s="168"/>
      <c r="S1" s="168"/>
      <c r="T1" s="168"/>
    </row>
    <row r="2" spans="1:20" ht="15.75" customHeight="1" x14ac:dyDescent="0.25">
      <c r="A2" s="3"/>
      <c r="B2" s="4">
        <v>1984</v>
      </c>
      <c r="C2" s="4">
        <v>1988</v>
      </c>
      <c r="D2" s="4">
        <v>1992</v>
      </c>
      <c r="E2" s="4">
        <v>1996</v>
      </c>
      <c r="F2" s="4">
        <v>2000</v>
      </c>
      <c r="G2" s="4">
        <v>2004</v>
      </c>
      <c r="H2" s="4">
        <v>2008</v>
      </c>
      <c r="I2" s="4">
        <v>2010</v>
      </c>
      <c r="J2" s="4">
        <v>2011</v>
      </c>
      <c r="K2" s="4">
        <v>2012</v>
      </c>
      <c r="L2" s="4">
        <v>2013</v>
      </c>
      <c r="M2" s="12">
        <v>2014</v>
      </c>
      <c r="N2" s="12"/>
      <c r="O2" s="12"/>
      <c r="P2" s="12"/>
      <c r="Q2" s="12"/>
      <c r="R2" s="12"/>
      <c r="S2" s="12"/>
      <c r="T2" s="12"/>
    </row>
    <row r="3" spans="1:20" ht="15.75" customHeight="1" x14ac:dyDescent="0.25">
      <c r="A3" s="170" t="s">
        <v>86</v>
      </c>
      <c r="B3" s="47">
        <f>('Newspaper (RV)'!B3)/('Newspaper (RV)'!B42)*100</f>
        <v>14.405037251127059</v>
      </c>
      <c r="C3" s="47">
        <f>('Newspaper (RV)'!C3)/('Newspaper (RV)'!C42)*100</f>
        <v>13.820014842297768</v>
      </c>
      <c r="D3" s="47">
        <f>('Newspaper (RV)'!D3)/('Newspaper (RV)'!D42)*100</f>
        <v>14.751895203722976</v>
      </c>
      <c r="E3" s="47">
        <f>('Newspaper (RV)'!E3)/('Newspaper (RV)'!E42)*100</f>
        <v>15.371601208459214</v>
      </c>
      <c r="F3" s="47">
        <f>('Newspaper (RV)'!F3)/('Newspaper (RV)'!F42)*100</f>
        <v>18.058947007668248</v>
      </c>
      <c r="G3" s="47">
        <f>('Newspaper (RV)'!G3)/('Newspaper (RV)'!G42)*100</f>
        <v>18.48408732911513</v>
      </c>
      <c r="H3" s="47">
        <f>('Newspaper (RV)'!H3)/('Newspaper (RV)'!H42)*100</f>
        <v>18.099856009030578</v>
      </c>
      <c r="I3" s="47">
        <f>('Newspaper (RV)'!I3)/('Newspaper (RV)'!I42)*100</f>
        <v>20.433056034479826</v>
      </c>
      <c r="J3" s="47">
        <f>('Newspaper (RV)'!J3)/('Newspaper (RV)'!J42)*100</f>
        <v>20.253321743449643</v>
      </c>
      <c r="K3" s="47">
        <f>('Newspaper (RV)'!K3)/('Newspaper (RV)'!K42)*100</f>
        <v>19.404724075839425</v>
      </c>
      <c r="L3" s="47">
        <f>('Newspaper (RV)'!L3)/('Newspaper (RV)'!L42)*100</f>
        <v>21.560950622214641</v>
      </c>
      <c r="M3" s="47">
        <f>('Newspaper (RV)'!M3)/('Newspaper (RV)'!M42)*100</f>
        <v>23.42675595361866</v>
      </c>
      <c r="N3" s="11"/>
      <c r="O3" s="11"/>
      <c r="P3" s="11"/>
      <c r="Q3" s="11"/>
      <c r="R3" s="11"/>
      <c r="S3" s="11"/>
      <c r="T3" s="11"/>
    </row>
    <row r="4" spans="1:20" ht="15.75" customHeight="1" x14ac:dyDescent="0.2">
      <c r="A4" s="113" t="s">
        <v>90</v>
      </c>
      <c r="B4" s="110">
        <f>('Newspaper (RV)'!B4)/('Newspaper (RV)'!B42)*100</f>
        <v>6.8826712328767119</v>
      </c>
      <c r="C4" s="110">
        <f>('Newspaper (RV)'!C4)/('Newspaper (RV)'!C42)*100</f>
        <v>5.8022307692307695</v>
      </c>
      <c r="D4" s="110">
        <f>('Newspaper (RV)'!D4)/('Newspaper (RV)'!D42)*100</f>
        <v>6.7634408602150549</v>
      </c>
      <c r="E4" s="110">
        <f>('Newspaper (RV)'!E4)/('Newspaper (RV)'!E42)*100</f>
        <v>7.0488821752265851</v>
      </c>
      <c r="F4" s="110">
        <f>('Newspaper (RV)'!F4)/('Newspaper (RV)'!F42)*100</f>
        <v>18.208884890545342</v>
      </c>
      <c r="G4" s="110">
        <f>('Newspaper (RV)'!G4)/('Newspaper (RV)'!G42)*100</f>
        <v>17.503327439957094</v>
      </c>
      <c r="H4" s="110">
        <f>('Newspaper (RV)'!H4)/('Newspaper (RV)'!H42)*100</f>
        <v>21.739690484515027</v>
      </c>
      <c r="I4" s="110">
        <f>('Newspaper (RV)'!I4)/('Newspaper (RV)'!I42)*100</f>
        <v>20.934231555097004</v>
      </c>
      <c r="J4" s="110">
        <f>('Newspaper (RV)'!J4)/('Newspaper (RV)'!J42)*100</f>
        <v>21.077031334078399</v>
      </c>
      <c r="K4" s="110">
        <f>('Newspaper (RV)'!K4)/('Newspaper (RV)'!K42)*100</f>
        <v>20.336828725770577</v>
      </c>
      <c r="L4" s="110">
        <f>('Newspaper (RV)'!L4)/('Newspaper (RV)'!L42)*100</f>
        <v>19.925408322410096</v>
      </c>
      <c r="M4" s="110">
        <f>('Newspaper (RV)'!M4)/('Newspaper (RV)'!M42)*100</f>
        <v>20.715793517778625</v>
      </c>
      <c r="N4" s="81"/>
      <c r="O4" s="81"/>
      <c r="P4" s="81"/>
      <c r="Q4" s="81"/>
      <c r="R4" s="81"/>
      <c r="S4" s="81"/>
      <c r="T4" s="81"/>
    </row>
    <row r="5" spans="1:20" ht="15.75" customHeight="1" x14ac:dyDescent="0.2">
      <c r="A5" s="113" t="s">
        <v>97</v>
      </c>
      <c r="B5" s="112"/>
      <c r="C5" s="112"/>
      <c r="D5" s="112"/>
      <c r="E5" s="112"/>
      <c r="F5" s="110">
        <f>('Newspaper (RV)'!F5)/('Newspaper (RV)'!F42)*100</f>
        <v>0.83959104780288174</v>
      </c>
      <c r="G5" s="110">
        <f>('Newspaper (RV)'!G5)/('Newspaper (RV)'!G42)*100</f>
        <v>5.6861430848793644</v>
      </c>
      <c r="H5" s="112" t="s">
        <v>101</v>
      </c>
      <c r="I5" s="112"/>
      <c r="J5" s="81"/>
      <c r="K5" s="112"/>
      <c r="L5" s="81"/>
      <c r="M5" s="208"/>
      <c r="N5" s="208"/>
      <c r="O5" s="208"/>
      <c r="P5" s="208"/>
      <c r="Q5" s="208"/>
      <c r="R5" s="208"/>
      <c r="S5" s="208"/>
      <c r="T5" s="208"/>
    </row>
    <row r="6" spans="1:20" ht="15.75" customHeight="1" x14ac:dyDescent="0.2">
      <c r="A6" s="113" t="s">
        <v>155</v>
      </c>
      <c r="B6" s="110">
        <f>('Newspaper (RV)'!B6)/('Newspaper (RV)'!B42)*100</f>
        <v>7.0182648401826473</v>
      </c>
      <c r="C6" s="110">
        <f>('Newspaper (RV)'!C6)/('Newspaper (RV)'!C42)*100</f>
        <v>9.5145299145299145</v>
      </c>
      <c r="D6" s="110">
        <f>('Newspaper (RV)'!D6)/('Newspaper (RV)'!D42)*100</f>
        <v>8.7526881720430101</v>
      </c>
      <c r="E6" s="110">
        <f>('Newspaper (RV)'!E6)/('Newspaper (RV)'!E42)*100</f>
        <v>10.07821913855658</v>
      </c>
      <c r="F6" s="112" t="s">
        <v>158</v>
      </c>
      <c r="G6" s="112"/>
      <c r="H6" s="112"/>
      <c r="I6" s="112"/>
      <c r="J6" s="81"/>
      <c r="K6" s="81"/>
      <c r="L6" s="81"/>
      <c r="M6" s="208"/>
      <c r="N6" s="208"/>
      <c r="O6" s="626" t="s">
        <v>8</v>
      </c>
      <c r="P6" s="623"/>
      <c r="Q6" s="623"/>
      <c r="R6" s="208"/>
      <c r="S6" s="208"/>
      <c r="T6" s="208"/>
    </row>
    <row r="7" spans="1:20" ht="15.75" customHeight="1" x14ac:dyDescent="0.2">
      <c r="A7" s="113" t="s">
        <v>162</v>
      </c>
      <c r="B7" s="112"/>
      <c r="C7" s="112"/>
      <c r="D7" s="112"/>
      <c r="E7" s="112"/>
      <c r="F7" s="112"/>
      <c r="G7" s="112"/>
      <c r="H7" s="112"/>
      <c r="I7" s="110">
        <v>21.292306447371082</v>
      </c>
      <c r="J7" s="110">
        <f>('Newspaper (RV)'!J7)/('Newspaper (RV)'!J42)*100</f>
        <v>21.091518688687447</v>
      </c>
      <c r="K7" s="110">
        <f>('Newspaper (RV)'!K7)/('Newspaper (RV)'!K42)*100</f>
        <v>17.623133142675563</v>
      </c>
      <c r="L7" s="110">
        <f>('Newspaper (RV)'!L7)/('Newspaper (RV)'!L42)*100</f>
        <v>17.416146964635615</v>
      </c>
      <c r="M7" s="110">
        <f>('Newspaper (RV)'!M7)/('Newspaper (RV)'!M42)*100</f>
        <v>18.408881878015453</v>
      </c>
      <c r="N7" s="81"/>
      <c r="O7" s="623"/>
      <c r="P7" s="623"/>
      <c r="Q7" s="623"/>
      <c r="R7" s="81"/>
      <c r="S7" s="81"/>
      <c r="T7" s="81"/>
    </row>
    <row r="8" spans="1:20" ht="15.75" customHeight="1" x14ac:dyDescent="0.2">
      <c r="A8" s="113" t="s">
        <v>358</v>
      </c>
      <c r="B8" s="112"/>
      <c r="C8" s="112"/>
      <c r="D8" s="112"/>
      <c r="E8" s="112"/>
      <c r="F8" s="244"/>
      <c r="G8" s="110">
        <f>('Newspaper (RV)'!G8)/('Newspaper (RV)'!G42)*100</f>
        <v>23.711237807664038</v>
      </c>
      <c r="H8" s="110">
        <f>('Newspaper (RV)'!H8)/('Newspaper (RV)'!H42)*100</f>
        <v>23.887161179912773</v>
      </c>
      <c r="I8" s="112" t="s">
        <v>162</v>
      </c>
      <c r="J8" s="112"/>
      <c r="K8" s="112"/>
      <c r="L8" s="81"/>
      <c r="M8" s="208"/>
      <c r="N8" s="208"/>
      <c r="O8" s="623"/>
      <c r="P8" s="623"/>
      <c r="Q8" s="623"/>
      <c r="R8" s="208"/>
      <c r="S8" s="208"/>
      <c r="T8" s="208"/>
    </row>
    <row r="9" spans="1:20" ht="15.75" customHeight="1" x14ac:dyDescent="0.2">
      <c r="A9" s="113" t="s">
        <v>437</v>
      </c>
      <c r="B9" s="112"/>
      <c r="C9" s="112"/>
      <c r="D9" s="112"/>
      <c r="E9" s="112"/>
      <c r="F9" s="244"/>
      <c r="G9" s="110">
        <f>('Newspaper (RV)'!G9)/('Newspaper (RV)'!G42)*100</f>
        <v>0.80903246195998191</v>
      </c>
      <c r="H9" s="252"/>
      <c r="I9" s="112"/>
      <c r="J9" s="112"/>
      <c r="K9" s="112"/>
      <c r="L9" s="81"/>
      <c r="M9" s="208"/>
      <c r="N9" s="208"/>
      <c r="O9" s="623"/>
      <c r="P9" s="623"/>
      <c r="Q9" s="623"/>
      <c r="R9" s="208"/>
      <c r="S9" s="208"/>
      <c r="T9" s="208"/>
    </row>
    <row r="10" spans="1:20" ht="15.75" customHeight="1" x14ac:dyDescent="0.2">
      <c r="A10" s="113" t="s">
        <v>446</v>
      </c>
      <c r="B10" s="112"/>
      <c r="C10" s="110">
        <f>('Newspaper (RV)'!C10)/('Newspaper (RV)'!C42)*100</f>
        <v>2.6668307692307693</v>
      </c>
      <c r="D10" s="110">
        <f>('Newspaper (RV)'!D10)/('Newspaper (RV)'!D42)*100</f>
        <v>3.2623655913978498</v>
      </c>
      <c r="E10" s="110">
        <f>('Newspaper (RV)'!E10)/('Newspaper (RV)'!E42)*100</f>
        <v>12.114803625377643</v>
      </c>
      <c r="F10" s="110">
        <f>('Newspaper (RV)'!F10)/('Newspaper (RV)'!F42)*100</f>
        <v>22.816261834382896</v>
      </c>
      <c r="G10" s="112" t="s">
        <v>386</v>
      </c>
      <c r="H10" s="112"/>
      <c r="I10" s="112"/>
      <c r="J10" s="112"/>
      <c r="K10" s="112"/>
      <c r="L10" s="81"/>
      <c r="M10" s="208"/>
      <c r="N10" s="208"/>
      <c r="O10" s="623"/>
      <c r="P10" s="623"/>
      <c r="Q10" s="623"/>
      <c r="R10" s="208"/>
      <c r="S10" s="208"/>
      <c r="T10" s="208"/>
    </row>
    <row r="11" spans="1:20" ht="15.75" customHeight="1" x14ac:dyDescent="0.2">
      <c r="A11" s="113" t="s">
        <v>451</v>
      </c>
      <c r="B11" s="110">
        <f>('Newspaper (RV)'!B11)/('Newspaper (RV)'!B42)*100</f>
        <v>25.045662100456624</v>
      </c>
      <c r="C11" s="110">
        <f>('Newspaper (RV)'!C11)/('Newspaper (RV)'!C42)*100</f>
        <v>25.740170940170938</v>
      </c>
      <c r="D11" s="110">
        <f>('Newspaper (RV)'!D11)/('Newspaper (RV)'!D42)*100</f>
        <v>29.014336917562723</v>
      </c>
      <c r="E11" s="110">
        <f>('Newspaper (RV)'!E11)/('Newspaper (RV)'!E42)*100</f>
        <v>28.063444108761328</v>
      </c>
      <c r="F11" s="112" t="s">
        <v>385</v>
      </c>
      <c r="G11" s="112"/>
      <c r="H11" s="112"/>
      <c r="I11" s="112"/>
      <c r="J11" s="112"/>
      <c r="K11" s="81"/>
      <c r="L11" s="81"/>
      <c r="M11" s="208"/>
      <c r="N11" s="208"/>
      <c r="O11" s="623"/>
      <c r="P11" s="623"/>
      <c r="Q11" s="623"/>
      <c r="R11" s="208"/>
      <c r="S11" s="208"/>
      <c r="T11" s="208"/>
    </row>
    <row r="12" spans="1:20" ht="15.75" customHeight="1" x14ac:dyDescent="0.2">
      <c r="A12" s="113" t="s">
        <v>456</v>
      </c>
      <c r="B12" s="110">
        <f>('Newspaper (RV)'!B12)/('Newspaper (RV)'!B42)*100</f>
        <v>5.8000000000000007</v>
      </c>
      <c r="C12" s="110">
        <f>('Newspaper (RV)'!C12)/('Newspaper (RV)'!C42)*100</f>
        <v>5.8000000000000007</v>
      </c>
      <c r="D12" s="110">
        <f>('Newspaper (RV)'!D12)/('Newspaper (RV)'!D42)*100</f>
        <v>5.8000000000000007</v>
      </c>
      <c r="E12" s="110">
        <f>('Newspaper (RV)'!E12)/('Newspaper (RV)'!E42)*100</f>
        <v>5.7</v>
      </c>
      <c r="F12" s="110">
        <f>('Newspaper (RV)'!F12)/('Newspaper (RV)'!F42)*100</f>
        <v>8.7999999999999989</v>
      </c>
      <c r="G12" s="110">
        <f>('Newspaper (RV)'!G12)/('Newspaper (RV)'!G42)*100</f>
        <v>9.799558990047478</v>
      </c>
      <c r="H12" s="110">
        <f>('Newspaper (RV)'!H12)/('Newspaper (RV)'!H42)*100</f>
        <v>10.794510792558379</v>
      </c>
      <c r="I12" s="110">
        <f>('Newspaper (RV)'!I12)/('Newspaper (RV)'!I42)*100</f>
        <v>10.6</v>
      </c>
      <c r="J12" s="110">
        <f>('Newspaper (RV)'!J12)/('Newspaper (RV)'!J42)*100</f>
        <v>11.7</v>
      </c>
      <c r="K12" s="110">
        <f>('Newspaper (RV)'!K12)/('Newspaper (RV)'!K42)*100</f>
        <v>9.8921787946192143</v>
      </c>
      <c r="L12" s="110">
        <f>('Newspaper (RV)'!L12)/('Newspaper (RV)'!L42)*100</f>
        <v>8.5412343948439169</v>
      </c>
      <c r="M12" s="110">
        <f>('Newspaper (RV)'!M12)/('Newspaper (RV)'!M42)*100</f>
        <v>9.5743658232537729</v>
      </c>
      <c r="N12" s="81"/>
      <c r="O12" s="623"/>
      <c r="P12" s="623"/>
      <c r="Q12" s="623"/>
      <c r="R12" s="81"/>
      <c r="S12" s="81"/>
      <c r="T12" s="81"/>
    </row>
    <row r="13" spans="1:20" ht="15.75" customHeight="1" x14ac:dyDescent="0.2">
      <c r="A13" s="270" t="s">
        <v>468</v>
      </c>
      <c r="B13" s="110">
        <f>('Newspaper (RV)'!B13)/('Newspaper (RV)'!B42)*100</f>
        <v>17.836164383561645</v>
      </c>
      <c r="C13" s="110">
        <f>('Newspaper (RV)'!C13)/('Newspaper (RV)'!C42)*100</f>
        <v>18.16738461538462</v>
      </c>
      <c r="D13" s="110">
        <f>('Newspaper (RV)'!D13)/('Newspaper (RV)'!D42)*100</f>
        <v>17.63978494623656</v>
      </c>
      <c r="E13" s="110">
        <f>('Newspaper (RV)'!E13)/('Newspaper (RV)'!E42)*100</f>
        <v>11.171933534743204</v>
      </c>
      <c r="F13" s="110">
        <f>('Newspaper (RV)'!F13)/('Newspaper (RV)'!F42)*100</f>
        <v>3.0565908409373255</v>
      </c>
      <c r="G13" s="81"/>
      <c r="H13" s="81"/>
      <c r="I13" s="81"/>
      <c r="J13" s="110">
        <f>('Newspaper (RV)'!J13)/('Newspaper (RV)'!J42)*100</f>
        <v>8.1999999999999993</v>
      </c>
      <c r="K13" s="110">
        <f>('Newspaper (RV)'!K13)/('Newspaper (RV)'!K42)*100</f>
        <v>6.8526447747777164</v>
      </c>
      <c r="L13" s="110">
        <f>('Newspaper (RV)'!L13)/('Newspaper (RV)'!L42)*100</f>
        <v>6.3051271807841287</v>
      </c>
      <c r="M13" s="110">
        <f>('Newspaper (RV)'!M13)/('Newspaper (RV)'!M42)*100</f>
        <v>6.7405501048228027</v>
      </c>
      <c r="N13" s="81"/>
      <c r="O13" s="623"/>
      <c r="P13" s="623"/>
      <c r="Q13" s="623"/>
      <c r="R13" s="81"/>
      <c r="S13" s="81"/>
      <c r="T13" s="81"/>
    </row>
    <row r="14" spans="1:20" ht="15.75" customHeight="1" x14ac:dyDescent="0.2">
      <c r="A14" s="113" t="s">
        <v>479</v>
      </c>
      <c r="B14" s="112"/>
      <c r="C14" s="112"/>
      <c r="D14" s="112"/>
      <c r="E14" s="112"/>
      <c r="F14" s="112"/>
      <c r="G14" s="112"/>
      <c r="H14" s="110">
        <f>('Newspaper (RV)'!H14)/('Newspaper (RV)'!H42)*100</f>
        <v>7.7680124395046279</v>
      </c>
      <c r="I14" s="110">
        <f>('Newspaper (RV)'!I14)/('Newspaper (RV)'!I42)*100</f>
        <v>8</v>
      </c>
      <c r="J14" s="81" t="s">
        <v>408</v>
      </c>
      <c r="K14" s="81"/>
      <c r="L14" s="81"/>
      <c r="M14" s="208"/>
      <c r="N14" s="208"/>
      <c r="O14" s="623"/>
      <c r="P14" s="623"/>
      <c r="Q14" s="623"/>
      <c r="R14" s="208"/>
      <c r="S14" s="208"/>
      <c r="T14" s="208"/>
    </row>
    <row r="15" spans="1:20" ht="15.75" customHeight="1" x14ac:dyDescent="0.2">
      <c r="A15" s="113" t="s">
        <v>486</v>
      </c>
      <c r="B15" s="112"/>
      <c r="C15" s="112"/>
      <c r="D15" s="112"/>
      <c r="E15" s="112"/>
      <c r="F15" s="110">
        <f>('Newspaper (RV)'!F15)/('Newspaper (RV)'!F42)*100</f>
        <v>6.6079766953690608</v>
      </c>
      <c r="G15" s="110">
        <f>('Newspaper (RV)'!G15)/('Newspaper (RV)'!G42)*100</f>
        <v>8.7029937026957249</v>
      </c>
      <c r="H15" s="112" t="s">
        <v>491</v>
      </c>
      <c r="I15" s="112"/>
      <c r="J15" s="81"/>
      <c r="K15" s="112"/>
      <c r="L15" s="81"/>
      <c r="M15" s="208"/>
      <c r="N15" s="208"/>
      <c r="O15" s="208"/>
      <c r="P15" s="208"/>
      <c r="Q15" s="208"/>
      <c r="R15" s="208"/>
      <c r="S15" s="208"/>
      <c r="T15" s="208"/>
    </row>
    <row r="16" spans="1:20" ht="15.75" customHeight="1" x14ac:dyDescent="0.2">
      <c r="A16" s="113" t="s">
        <v>492</v>
      </c>
      <c r="B16" s="112"/>
      <c r="C16" s="112"/>
      <c r="D16" s="112"/>
      <c r="E16" s="112"/>
      <c r="F16" s="110">
        <f>('Newspaper (RV)'!F16)/('Newspaper (RV)'!F42)*100</f>
        <v>0.16181591380135921</v>
      </c>
      <c r="G16" s="110">
        <f>('Newspaper (RV)'!G16)/('Newspaper (RV)'!G42)*100</f>
        <v>0.17593554579003667</v>
      </c>
      <c r="H16" s="110">
        <f>('Newspaper (RV)'!H16)/('Newspaper (RV)'!H42)*100</f>
        <v>2.8037213418683975</v>
      </c>
      <c r="I16" s="110">
        <f>('Newspaper (RV)'!I16)/('Newspaper (RV)'!I42)*100</f>
        <v>2.6224813680356442</v>
      </c>
      <c r="J16" s="110">
        <f>('Newspaper (RV)'!J16)/('Newspaper (RV)'!J42)*100</f>
        <v>3.6371756799405999</v>
      </c>
      <c r="K16" s="110">
        <f>('Newspaper (RV)'!K16)/('Newspaper (RV)'!K42)*100</f>
        <v>5.3293899550360297</v>
      </c>
      <c r="L16" s="110">
        <f>('Newspaper (RV)'!L16)/('Newspaper (RV)'!L42)*100</f>
        <v>5.0685978615453289</v>
      </c>
      <c r="M16" s="110">
        <f>('Newspaper (RV)'!M16)/('Newspaper (RV)'!M42)*100</f>
        <v>4.3162453283616244</v>
      </c>
      <c r="N16" s="81"/>
      <c r="O16" s="81"/>
      <c r="P16" s="81"/>
      <c r="Q16" s="81"/>
      <c r="R16" s="81"/>
      <c r="S16" s="81"/>
      <c r="T16" s="81"/>
    </row>
    <row r="17" spans="1:20" ht="15.75" customHeight="1" x14ac:dyDescent="0.2">
      <c r="A17" s="113" t="s">
        <v>184</v>
      </c>
      <c r="B17" s="110">
        <f>('Newspaper (RV)'!B17)/('Newspaper (RV)'!B42)*100</f>
        <v>0.4994208346464325</v>
      </c>
      <c r="C17" s="110">
        <f>('Newspaper (RV)'!C17)/('Newspaper (RV)'!C42)*100</f>
        <v>0.43732305218266943</v>
      </c>
      <c r="D17" s="110">
        <f>('Newspaper (RV)'!D17)/('Newspaper (RV)'!D42)*100</f>
        <v>0.46662473118279568</v>
      </c>
      <c r="E17" s="110">
        <f>('Newspaper (RV)'!E17)/('Newspaper (RV)'!E42)*100</f>
        <v>0.62235649546827798</v>
      </c>
      <c r="F17" s="110">
        <f>('Newspaper (RV)'!F17)/('Newspaper (RV)'!F42)*100</f>
        <v>1.3687186736923274</v>
      </c>
      <c r="G17" s="110">
        <f>('Newspaper (RV)'!G17)/('Newspaper (RV)'!G42)*100</f>
        <v>3.7473926776455633</v>
      </c>
      <c r="H17" s="110">
        <f>('Newspaper (RV)'!H17)/('Newspaper (RV)'!H42)*100</f>
        <v>4.2748468063964076</v>
      </c>
      <c r="I17" s="110">
        <f>('Newspaper (RV)'!I17)/('Newspaper (RV)'!I42)*100</f>
        <v>4.430175396006554</v>
      </c>
      <c r="J17" s="110">
        <f>('Newspaper (RV)'!J17)/('Newspaper (RV)'!J42)*100</f>
        <v>4.5627716378989183</v>
      </c>
      <c r="K17" s="110">
        <f>('Newspaper (RV)'!K17)/('Newspaper (RV)'!K42)*100</f>
        <v>5.4299332697807436</v>
      </c>
      <c r="L17" s="110">
        <f>('Newspaper (RV)'!L17)/('Newspaper (RV)'!L42)*100</f>
        <v>5.9361347323210394</v>
      </c>
      <c r="M17" s="110">
        <f>('Newspaper (RV)'!M17)/('Newspaper (RV)'!M42)*100</f>
        <v>9.0802226199435587</v>
      </c>
      <c r="N17" s="81"/>
      <c r="O17" s="81"/>
      <c r="P17" s="81"/>
      <c r="Q17" s="81"/>
      <c r="R17" s="81"/>
      <c r="S17" s="81"/>
      <c r="T17" s="81"/>
    </row>
    <row r="18" spans="1:20" ht="15.75" customHeight="1" x14ac:dyDescent="0.2">
      <c r="A18" s="113" t="s">
        <v>495</v>
      </c>
      <c r="B18" s="110">
        <f>('Newspaper (RV)'!B18)/('Newspaper (RV)'!B42)*100</f>
        <v>3.2211235055928649</v>
      </c>
      <c r="C18" s="110">
        <f>('Newspaper (RV)'!C18)/('Newspaper (RV)'!C42)*100</f>
        <v>2.8206103253991945</v>
      </c>
      <c r="D18" s="110">
        <f>('Newspaper (RV)'!D18)/('Newspaper (RV)'!D42)*100</f>
        <v>3.4585865148264041</v>
      </c>
      <c r="E18" s="110">
        <f>('Newspaper (RV)'!E18)/('Newspaper (RV)'!E42)*100</f>
        <v>3.0533341054170262</v>
      </c>
      <c r="F18" s="110">
        <f>('Newspaper (RV)'!F18)/('Newspaper (RV)'!F42)*100</f>
        <v>3.3031559965081549</v>
      </c>
      <c r="G18" s="110">
        <f>('Newspaper (RV)'!G18)/('Newspaper (RV)'!G42)*100</f>
        <v>3.5564777700806691</v>
      </c>
      <c r="H18" s="110">
        <f>('Newspaper (RV)'!H18)/('Newspaper (RV)'!H42)*100</f>
        <v>2.8037213418683975</v>
      </c>
      <c r="I18" s="110">
        <f>('Newspaper (RV)'!I18)/('Newspaper (RV)'!I42)*100</f>
        <v>4.1024891325542292</v>
      </c>
      <c r="J18" s="110">
        <f>('Newspaper (RV)'!J18)/('Newspaper (RV)'!J42)*100</f>
        <v>4.255780233273069</v>
      </c>
      <c r="K18" s="110">
        <f>('Newspaper (RV)'!K18)/('Newspaper (RV)'!K42)*100</f>
        <v>3.4868625504806503</v>
      </c>
      <c r="L18" s="110">
        <f>('Newspaper (RV)'!L18)/('Newspaper (RV)'!L42)*100</f>
        <v>3.5960499582570784</v>
      </c>
      <c r="M18" s="110">
        <f>('Newspaper (RV)'!M18)/('Newspaper (RV)'!M42)*100</f>
        <v>3.2132958579896473</v>
      </c>
      <c r="N18" s="81"/>
      <c r="O18" s="81"/>
      <c r="P18" s="81"/>
      <c r="Q18" s="81"/>
      <c r="R18" s="81"/>
      <c r="S18" s="81"/>
      <c r="T18" s="81"/>
    </row>
    <row r="19" spans="1:20" ht="15.75" customHeight="1" x14ac:dyDescent="0.2">
      <c r="A19" s="113" t="s">
        <v>497</v>
      </c>
      <c r="B19" s="112"/>
      <c r="C19" s="112"/>
      <c r="D19" s="112"/>
      <c r="E19" s="112"/>
      <c r="F19" s="112"/>
      <c r="G19" s="110">
        <f>('Newspaper (RV)'!G19)/('Newspaper (RV)'!G42)*100</f>
        <v>2.508000632075944</v>
      </c>
      <c r="H19" s="110">
        <f>('Newspaper (RV)'!H19)/('Newspaper (RV)'!H42)*100</f>
        <v>2.5940531918150511</v>
      </c>
      <c r="I19" s="110">
        <f>('Newspaper (RV)'!I19)/('Newspaper (RV)'!I42)*100</f>
        <v>2.7131004430418164</v>
      </c>
      <c r="J19" s="110">
        <f>('Newspaper (RV)'!J19)/('Newspaper (RV)'!J42)*100</f>
        <v>2.5176444803178941</v>
      </c>
      <c r="K19" s="110">
        <f>('Newspaper (RV)'!K19)/('Newspaper (RV)'!K42)*100</f>
        <v>2.3144790904925725</v>
      </c>
      <c r="L19" s="110">
        <f>('Newspaper (RV)'!L19)/('Newspaper (RV)'!L42)*100</f>
        <v>1.8638505517875645</v>
      </c>
      <c r="M19" s="110">
        <f>('Newspaper (RV)'!M19)/('Newspaper (RV)'!M42)*100</f>
        <v>1.9356217190438914</v>
      </c>
      <c r="N19" s="81"/>
      <c r="O19" s="81"/>
      <c r="P19" s="81"/>
      <c r="Q19" s="81"/>
      <c r="R19" s="81"/>
      <c r="S19" s="81"/>
      <c r="T19" s="81"/>
    </row>
    <row r="20" spans="1:20" ht="15.75" customHeight="1" x14ac:dyDescent="0.2">
      <c r="A20" s="113" t="s">
        <v>500</v>
      </c>
      <c r="B20" s="112"/>
      <c r="C20" s="112"/>
      <c r="D20" s="112"/>
      <c r="E20" s="112"/>
      <c r="F20" s="110">
        <f>('Newspaper (RV)'!F20)/('Newspaper (RV)'!F42)*100</f>
        <v>0.98923017606991404</v>
      </c>
      <c r="G20" s="110">
        <f>('Newspaper (RV)'!G20)/('Newspaper (RV)'!G42)*100</f>
        <v>1.5371616777239656</v>
      </c>
      <c r="H20" s="112" t="s">
        <v>554</v>
      </c>
      <c r="I20" s="112"/>
      <c r="J20" s="81"/>
      <c r="K20" s="112"/>
      <c r="L20" s="81"/>
      <c r="M20" s="208"/>
      <c r="N20" s="208"/>
      <c r="O20" s="208"/>
      <c r="P20" s="208"/>
      <c r="Q20" s="208"/>
      <c r="R20" s="208"/>
      <c r="S20" s="208"/>
      <c r="T20" s="208"/>
    </row>
    <row r="21" spans="1:20" ht="15.75" customHeight="1" x14ac:dyDescent="0.2">
      <c r="A21" s="113" t="s">
        <v>502</v>
      </c>
      <c r="B21" s="110">
        <f>('Newspaper (RV)'!B21)/('Newspaper (RV)'!B42)*100</f>
        <v>1.2145890410958904</v>
      </c>
      <c r="C21" s="110">
        <f>('Newspaper (RV)'!C21)/('Newspaper (RV)'!C42)*100</f>
        <v>1.2500769230769231</v>
      </c>
      <c r="D21" s="110">
        <f>('Newspaper (RV)'!D21)/('Newspaper (RV)'!D42)*100</f>
        <v>1.193548387096774</v>
      </c>
      <c r="E21" s="110">
        <f>('Newspaper (RV)'!E21)/('Newspaper (RV)'!E42)*100</f>
        <v>1.7212386706948641</v>
      </c>
      <c r="F21" s="110">
        <f>('Newspaper (RV)'!F21)/('Newspaper (RV)'!F42)*100</f>
        <v>1.7311528081223493</v>
      </c>
      <c r="G21" s="110">
        <f>('Newspaper (RV)'!G21)/('Newspaper (RV)'!G42)*100</f>
        <v>1.8607746625079584</v>
      </c>
      <c r="H21" s="110">
        <f>('Newspaper (RV)'!H21)/('Newspaper (RV)'!H42)*100</f>
        <v>1.9651918119810992</v>
      </c>
      <c r="I21" s="110">
        <f>('Newspaper (RV)'!I21)/('Newspaper (RV)'!I42)*100</f>
        <v>2.0348253322813621</v>
      </c>
      <c r="J21" s="110">
        <f>('Newspaper (RV)'!J21)/('Newspaper (RV)'!J42)*100</f>
        <v>2.1474026449770269</v>
      </c>
      <c r="K21" s="110">
        <f>('Newspaper (RV)'!K21)/('Newspaper (RV)'!K42)*100</f>
        <v>1.9982822514628191</v>
      </c>
      <c r="L21" s="338">
        <f>('Newspaper (RV)'!L21)/('Newspaper (RV)'!L42)*100</f>
        <v>1.2485339365269992</v>
      </c>
      <c r="M21" s="338">
        <f>('Newspaper (RV)'!M21)/('Newspaper (RV)'!M42)*100</f>
        <v>1.3240853790356659</v>
      </c>
      <c r="N21" s="178"/>
      <c r="O21" s="178"/>
      <c r="P21" s="178"/>
      <c r="Q21" s="178"/>
      <c r="R21" s="178"/>
      <c r="S21" s="178"/>
      <c r="T21" s="178"/>
    </row>
    <row r="22" spans="1:20" ht="15.75" customHeight="1" x14ac:dyDescent="0.2">
      <c r="A22" s="113" t="s">
        <v>503</v>
      </c>
      <c r="B22" s="112"/>
      <c r="C22" s="112"/>
      <c r="D22" s="112"/>
      <c r="E22" s="112"/>
      <c r="F22" s="110">
        <f>('Newspaper (RV)'!F22)/('Newspaper (RV)'!F42)*100</f>
        <v>1.8960245041340016</v>
      </c>
      <c r="G22" s="110">
        <f>('Newspaper (RV)'!G22)/('Newspaper (RV)'!G42)*100</f>
        <v>1.6172493085804818</v>
      </c>
      <c r="H22" s="110">
        <f>('Newspaper (RV)'!H22)/('Newspaper (RV)'!H42)*100</f>
        <v>1.8818927914385715</v>
      </c>
      <c r="I22" s="110">
        <f>('Newspaper (RV)'!I22)/('Newspaper (RV)'!I42)*100</f>
        <v>2.1611211077392602</v>
      </c>
      <c r="J22" s="110">
        <f>('Newspaper (RV)'!J22)/('Newspaper (RV)'!J42)*100</f>
        <v>2.1437685640270576</v>
      </c>
      <c r="K22" s="110">
        <f>('Newspaper (RV)'!K22)/('Newspaper (RV)'!K42)*100</f>
        <v>1.6465114128791849</v>
      </c>
      <c r="L22" s="110">
        <f>('Newspaper (RV)'!L22)/('Newspaper (RV)'!L42)*100</f>
        <v>0.88939390288337128</v>
      </c>
      <c r="M22" s="208"/>
      <c r="N22" s="208"/>
      <c r="O22" s="208"/>
      <c r="P22" s="208"/>
      <c r="Q22" s="208"/>
      <c r="R22" s="208"/>
      <c r="S22" s="208"/>
      <c r="T22" s="208"/>
    </row>
    <row r="23" spans="1:20" ht="15.75" customHeight="1" x14ac:dyDescent="0.2">
      <c r="A23" s="113" t="s">
        <v>505</v>
      </c>
      <c r="B23" s="110">
        <f>('Newspaper (RV)'!B23)/('Newspaper (RV)'!B42)*100</f>
        <v>2.1041118330941471</v>
      </c>
      <c r="C23" s="110">
        <f>('Newspaper (RV)'!C23)/('Newspaper (RV)'!C42)*100</f>
        <v>2.1533364059654447</v>
      </c>
      <c r="D23" s="110">
        <f>('Newspaper (RV)'!D23)/('Newspaper (RV)'!D42)*100</f>
        <v>1.9096774193548387</v>
      </c>
      <c r="E23" s="110">
        <f>('Newspaper (RV)'!E23)/('Newspaper (RV)'!E42)*100</f>
        <v>2.206697526270851</v>
      </c>
      <c r="F23" s="112" t="s">
        <v>506</v>
      </c>
      <c r="G23" s="112"/>
      <c r="H23" s="112"/>
      <c r="I23" s="112"/>
      <c r="J23" s="81"/>
      <c r="K23" s="112"/>
      <c r="L23" s="81"/>
      <c r="M23" s="208"/>
      <c r="N23" s="208"/>
      <c r="O23" s="208"/>
      <c r="P23" s="208"/>
      <c r="Q23" s="208"/>
      <c r="R23" s="208"/>
      <c r="S23" s="208"/>
      <c r="T23" s="208"/>
    </row>
    <row r="24" spans="1:20" ht="15.75" customHeight="1" x14ac:dyDescent="0.2">
      <c r="A24" s="113" t="s">
        <v>507</v>
      </c>
      <c r="B24" s="110">
        <f>('Newspaper (RV)'!B24)/('Newspaper (RV)'!B42)*100</f>
        <v>1.7409109589041092</v>
      </c>
      <c r="C24" s="110">
        <f>('Newspaper (RV)'!C24)/('Newspaper (RV)'!C42)*100</f>
        <v>1.7917769230769229</v>
      </c>
      <c r="D24" s="110">
        <f>('Newspaper (RV)'!D24)/('Newspaper (RV)'!D42)*100</f>
        <v>1.7107526881720432</v>
      </c>
      <c r="E24" s="81"/>
      <c r="F24" s="112"/>
      <c r="G24" s="112"/>
      <c r="H24" s="112"/>
      <c r="I24" s="112"/>
      <c r="J24" s="81"/>
      <c r="K24" s="112"/>
      <c r="L24" s="81"/>
      <c r="M24" s="208"/>
      <c r="N24" s="208"/>
      <c r="O24" s="208"/>
      <c r="P24" s="208"/>
      <c r="Q24" s="208"/>
      <c r="R24" s="208"/>
      <c r="S24" s="208"/>
      <c r="T24" s="208"/>
    </row>
    <row r="25" spans="1:20" ht="15.75" customHeight="1" x14ac:dyDescent="0.2">
      <c r="A25" s="113" t="s">
        <v>508</v>
      </c>
      <c r="B25" s="110">
        <f>('Newspaper (RV)'!B25)/('Newspaper (RV)'!B42)*100</f>
        <v>0.70000000000000007</v>
      </c>
      <c r="C25" s="110">
        <f>('Newspaper (RV)'!C25)/('Newspaper (RV)'!C42)*100</f>
        <v>0.70000000000000007</v>
      </c>
      <c r="D25" s="110">
        <f>('Newspaper (RV)'!D25)/('Newspaper (RV)'!D42)*100</f>
        <v>0.70000000000000007</v>
      </c>
      <c r="E25" s="110">
        <f>('Newspaper (RV)'!E25)/('Newspaper (RV)'!E42)*100</f>
        <v>0.57374622356495464</v>
      </c>
      <c r="F25" s="110">
        <f>('Newspaper (RV)'!F25)/('Newspaper (RV)'!F42)*100</f>
        <v>0.70000000000000007</v>
      </c>
      <c r="G25" s="110">
        <f>('Newspaper (RV)'!G25)/('Newspaper (RV)'!G42)*100</f>
        <v>0.70000000000000007</v>
      </c>
      <c r="H25" s="110">
        <f>('Newspaper (RV)'!H25)/('Newspaper (RV)'!H42)*100</f>
        <v>0.70618294904587531</v>
      </c>
      <c r="I25" s="110">
        <f>('Newspaper (RV)'!I25)/('Newspaper (RV)'!I42)*100</f>
        <v>0.7</v>
      </c>
      <c r="J25" s="110">
        <f>('Newspaper (RV)'!J25)/('Newspaper (RV)'!J42)*100</f>
        <v>0.70000000000000007</v>
      </c>
      <c r="K25" s="110">
        <f>('Newspaper (RV)'!K25)/('Newspaper (RV)'!K42)*100</f>
        <v>0.78681179280881197</v>
      </c>
      <c r="L25" s="110">
        <f>('Newspaper (RV)'!L25)/('Newspaper (RV)'!L42)*100</f>
        <v>0.62254678249294482</v>
      </c>
      <c r="M25" s="110">
        <f>('Newspaper (RV)'!M25)/('Newspaper (RV)'!M42)*100</f>
        <v>0.48868305741728696</v>
      </c>
      <c r="N25" s="81"/>
      <c r="O25" s="81"/>
      <c r="P25" s="81"/>
      <c r="Q25" s="81"/>
      <c r="R25" s="81"/>
      <c r="S25" s="81"/>
      <c r="T25" s="81"/>
    </row>
    <row r="26" spans="1:20" ht="15.75" customHeight="1" x14ac:dyDescent="0.2">
      <c r="A26" s="113" t="s">
        <v>509</v>
      </c>
      <c r="B26" s="112"/>
      <c r="C26" s="112"/>
      <c r="D26" s="112"/>
      <c r="E26" s="110">
        <f>('Newspaper (RV)'!E26)/('Newspaper (RV)'!E42)*100</f>
        <v>0.27487325982298461</v>
      </c>
      <c r="F26" s="110">
        <f>('Newspaper (RV)'!F26)/('Newspaper (RV)'!F42)*100</f>
        <v>0.26767840897053513</v>
      </c>
      <c r="G26" s="110">
        <f>('Newspaper (RV)'!G26)/('Newspaper (RV)'!G42)*100</f>
        <v>0.29103532447526287</v>
      </c>
      <c r="H26" s="110">
        <f>('Newspaper (RV)'!H26)/('Newspaper (RV)'!H42)*100</f>
        <v>0.33711775793490512</v>
      </c>
      <c r="I26" s="110">
        <f>('Newspaper (RV)'!I26)/('Newspaper (RV)'!I42)*100</f>
        <v>0.28540064548237654</v>
      </c>
      <c r="J26" s="110">
        <f>('Newspaper (RV)'!J26)/('Newspaper (RV)'!J42)*100</f>
        <v>0.2919748190496162</v>
      </c>
      <c r="K26" s="110">
        <f>('Newspaper (RV)'!K26)/('Newspaper (RV)'!K42)*100</f>
        <v>0.2254541065351866</v>
      </c>
      <c r="L26" s="110">
        <f>('Newspaper (RV)'!L26)/('Newspaper (RV)'!L42)*100</f>
        <v>0.27018782483863218</v>
      </c>
      <c r="M26" s="110">
        <f>('Newspaper (RV)'!M26)/('Newspaper (RV)'!M42)*100</f>
        <v>0.24570656518187617</v>
      </c>
      <c r="N26" s="81"/>
      <c r="O26" s="81"/>
      <c r="P26" s="81"/>
      <c r="Q26" s="81"/>
      <c r="R26" s="81"/>
      <c r="S26" s="81"/>
      <c r="T26" s="81"/>
    </row>
    <row r="27" spans="1:20" ht="15.75" customHeight="1" x14ac:dyDescent="0.2">
      <c r="A27" s="113" t="s">
        <v>511</v>
      </c>
      <c r="B27" s="81"/>
      <c r="C27" s="81"/>
      <c r="D27" s="81"/>
      <c r="E27" s="81"/>
      <c r="F27" s="81"/>
      <c r="G27" s="81"/>
      <c r="H27" s="81"/>
      <c r="I27" s="81"/>
      <c r="J27" s="81"/>
      <c r="K27" s="110">
        <f>('Newspaper (RV)'!K27)/('Newspaper (RV)'!K42)*100</f>
        <v>0.16186722728897263</v>
      </c>
      <c r="L27" s="110">
        <f>('Newspaper (RV)'!L27)/('Newspaper (RV)'!L42)*100</f>
        <v>0.2098999411354541</v>
      </c>
      <c r="M27" s="110">
        <f>('Newspaper (RV)'!M27)/('Newspaper (RV)'!M42)*100</f>
        <v>0.24843663812834146</v>
      </c>
      <c r="N27" s="81"/>
      <c r="O27" s="81"/>
      <c r="P27" s="81"/>
      <c r="Q27" s="81"/>
      <c r="R27" s="81"/>
      <c r="S27" s="81"/>
      <c r="T27" s="81"/>
    </row>
    <row r="28" spans="1:20" ht="15.75" customHeight="1" x14ac:dyDescent="0.2">
      <c r="A28" s="113" t="s">
        <v>512</v>
      </c>
      <c r="B28" s="81">
        <f>('Newspaper (RV)'!B28)/('Newspaper (RV)'!B42)*100</f>
        <v>0.72875342465753423</v>
      </c>
      <c r="C28" s="81" t="s">
        <v>513</v>
      </c>
      <c r="D28" s="81"/>
      <c r="E28" s="112"/>
      <c r="F28" s="112"/>
      <c r="G28" s="112"/>
      <c r="H28" s="112"/>
      <c r="I28" s="112"/>
      <c r="J28" s="81"/>
      <c r="K28" s="112"/>
      <c r="L28" s="81"/>
      <c r="M28" s="208"/>
      <c r="N28" s="208"/>
      <c r="O28" s="208"/>
      <c r="P28" s="208"/>
      <c r="Q28" s="208"/>
      <c r="R28" s="208"/>
      <c r="S28" s="208"/>
      <c r="T28" s="208"/>
    </row>
    <row r="29" spans="1:20" ht="15.75" customHeight="1" x14ac:dyDescent="0.2">
      <c r="A29" s="113" t="s">
        <v>515</v>
      </c>
      <c r="B29" s="110">
        <f>('Newspaper (RV)'!B29)/('Newspaper (RV)'!B42)*100</f>
        <v>0.72875342465753423</v>
      </c>
      <c r="C29" s="110">
        <f>('Newspaper (RV)'!C29)/('Newspaper (RV)'!C42)*100</f>
        <v>0.75004615384615381</v>
      </c>
      <c r="D29" s="110">
        <f>('Newspaper (RV)'!D29)/('Newspaper (RV)'!D42)*100</f>
        <v>0.71612903225806446</v>
      </c>
      <c r="E29" s="112" t="s">
        <v>517</v>
      </c>
      <c r="F29" s="112"/>
      <c r="G29" s="112"/>
      <c r="H29" s="112"/>
      <c r="I29" s="112"/>
      <c r="J29" s="81"/>
      <c r="K29" s="112"/>
      <c r="L29" s="81"/>
      <c r="M29" s="208"/>
      <c r="N29" s="208"/>
      <c r="O29" s="208"/>
      <c r="P29" s="208"/>
      <c r="Q29" s="208"/>
      <c r="R29" s="208"/>
      <c r="S29" s="208"/>
      <c r="T29" s="208"/>
    </row>
    <row r="30" spans="1:20" ht="12.75" customHeight="1" x14ac:dyDescent="0.2">
      <c r="A30" s="113" t="s">
        <v>518</v>
      </c>
      <c r="B30" s="110">
        <f>('Newspaper (RV)'!B30)/('Newspaper (RV)'!B42)*100</f>
        <v>1.9433424657534244</v>
      </c>
      <c r="C30" s="110">
        <f>('Newspaper (RV)'!C30)/('Newspaper (RV)'!C42)*100</f>
        <v>2.0001230769230771</v>
      </c>
      <c r="D30" s="110">
        <f>('Newspaper (RV)'!D30)/('Newspaper (RV)'!D42)*100</f>
        <v>1.9096774193548387</v>
      </c>
      <c r="E30" s="112" t="s">
        <v>385</v>
      </c>
      <c r="F30" s="112"/>
      <c r="G30" s="112"/>
      <c r="H30" s="112"/>
      <c r="I30" s="112"/>
      <c r="J30" s="81"/>
      <c r="K30" s="112"/>
      <c r="L30" s="81"/>
      <c r="M30" s="208"/>
      <c r="N30" s="208"/>
      <c r="O30" s="208"/>
      <c r="P30" s="208"/>
      <c r="Q30" s="208"/>
      <c r="R30" s="208"/>
      <c r="S30" s="208"/>
      <c r="T30" s="208"/>
    </row>
    <row r="31" spans="1:20" ht="15.75" customHeight="1" x14ac:dyDescent="0.2">
      <c r="A31" s="113" t="s">
        <v>519</v>
      </c>
      <c r="B31" s="110">
        <f>('Newspaper (RV)'!B31)/('Newspaper (RV)'!B42)*100</f>
        <v>2.5911232876712331</v>
      </c>
      <c r="C31" s="81" t="s">
        <v>520</v>
      </c>
      <c r="D31" s="81"/>
      <c r="E31" s="112"/>
      <c r="F31" s="112"/>
      <c r="G31" s="112"/>
      <c r="H31" s="112"/>
      <c r="I31" s="112"/>
      <c r="J31" s="81"/>
      <c r="K31" s="112"/>
      <c r="L31" s="81"/>
      <c r="M31" s="208"/>
      <c r="N31" s="208"/>
      <c r="O31" s="208"/>
      <c r="P31" s="208"/>
      <c r="Q31" s="208"/>
      <c r="R31" s="208"/>
      <c r="S31" s="208"/>
      <c r="T31" s="208"/>
    </row>
    <row r="32" spans="1:20" ht="15.75" customHeight="1" x14ac:dyDescent="0.2">
      <c r="A32" s="113" t="s">
        <v>521</v>
      </c>
      <c r="B32" s="81"/>
      <c r="C32" s="81"/>
      <c r="D32" s="81"/>
      <c r="E32" s="112"/>
      <c r="F32" s="110">
        <f>('Newspaper (RV)'!F32)/('Newspaper (RV)'!F42)*100</f>
        <v>0.24730754401747851</v>
      </c>
      <c r="G32" s="112" t="s">
        <v>522</v>
      </c>
      <c r="H32" s="112"/>
      <c r="I32" s="112"/>
      <c r="J32" s="81"/>
      <c r="K32" s="112"/>
      <c r="L32" s="81"/>
      <c r="M32" s="208"/>
      <c r="N32" s="208"/>
      <c r="O32" s="208"/>
      <c r="P32" s="208"/>
      <c r="Q32" s="208"/>
      <c r="R32" s="208"/>
      <c r="S32" s="208"/>
      <c r="T32" s="208"/>
    </row>
    <row r="33" spans="1:20" ht="15.75" customHeight="1" x14ac:dyDescent="0.2">
      <c r="A33" s="113" t="s">
        <v>523</v>
      </c>
      <c r="B33" s="81"/>
      <c r="C33" s="81"/>
      <c r="D33" s="81"/>
      <c r="E33" s="110">
        <f>('Newspaper (RV)'!E33)/('Newspaper (RV)'!E42)*100</f>
        <v>0.81963746223564959</v>
      </c>
      <c r="F33" s="112" t="s">
        <v>524</v>
      </c>
      <c r="G33" s="112"/>
      <c r="H33" s="112"/>
      <c r="I33" s="112"/>
      <c r="J33" s="81"/>
      <c r="K33" s="112"/>
      <c r="L33" s="81"/>
      <c r="M33" s="208"/>
      <c r="N33" s="208"/>
      <c r="O33" s="208"/>
      <c r="P33" s="208"/>
      <c r="Q33" s="208"/>
      <c r="R33" s="208"/>
      <c r="S33" s="208"/>
      <c r="T33" s="208"/>
    </row>
    <row r="34" spans="1:20" ht="15.75" customHeight="1" x14ac:dyDescent="0.2">
      <c r="A34" s="113" t="s">
        <v>525</v>
      </c>
      <c r="B34" s="110">
        <f>('Newspaper (RV)'!B34)/('Newspaper (RV)'!B42)*100</f>
        <v>0.25570776255707761</v>
      </c>
      <c r="C34" s="81" t="s">
        <v>526</v>
      </c>
      <c r="D34" s="81"/>
      <c r="E34" s="112"/>
      <c r="F34" s="112"/>
      <c r="G34" s="112"/>
      <c r="H34" s="81"/>
      <c r="I34" s="112"/>
      <c r="J34" s="81"/>
      <c r="K34" s="112"/>
      <c r="L34" s="81"/>
      <c r="M34" s="208"/>
      <c r="N34" s="208"/>
      <c r="O34" s="208"/>
      <c r="P34" s="208"/>
      <c r="Q34" s="208"/>
      <c r="R34" s="208"/>
      <c r="S34" s="208"/>
      <c r="T34" s="208"/>
    </row>
    <row r="35" spans="1:20" ht="15.75" customHeight="1" x14ac:dyDescent="0.2">
      <c r="A35" s="113"/>
      <c r="B35" s="81"/>
      <c r="C35" s="81"/>
      <c r="D35" s="81"/>
      <c r="E35" s="112"/>
      <c r="F35" s="112"/>
      <c r="G35" s="112"/>
      <c r="H35" s="81"/>
      <c r="I35" s="112"/>
      <c r="J35" s="81"/>
      <c r="K35" s="112"/>
      <c r="L35" s="112"/>
      <c r="M35" s="208"/>
      <c r="N35" s="208"/>
      <c r="O35" s="208"/>
      <c r="P35" s="208"/>
      <c r="Q35" s="208"/>
      <c r="R35" s="208"/>
      <c r="S35" s="208"/>
      <c r="T35" s="208"/>
    </row>
    <row r="36" spans="1:20" ht="15.75" customHeight="1" x14ac:dyDescent="0.2">
      <c r="A36" s="113"/>
      <c r="B36" s="81"/>
      <c r="C36" s="81"/>
      <c r="D36" s="81"/>
      <c r="E36" s="112"/>
      <c r="F36" s="112"/>
      <c r="G36" s="112"/>
      <c r="H36" s="81"/>
      <c r="I36" s="112"/>
      <c r="J36" s="81"/>
      <c r="K36" s="112"/>
      <c r="L36" s="112"/>
      <c r="M36" s="208"/>
      <c r="N36" s="208"/>
      <c r="O36" s="208"/>
      <c r="P36" s="208"/>
      <c r="Q36" s="208"/>
      <c r="R36" s="208"/>
      <c r="S36" s="208"/>
      <c r="T36" s="208"/>
    </row>
    <row r="37" spans="1:20" ht="15.75" customHeight="1" x14ac:dyDescent="0.2">
      <c r="A37" s="113"/>
      <c r="B37" s="81"/>
      <c r="C37" s="81"/>
      <c r="D37" s="81"/>
      <c r="E37" s="112"/>
      <c r="F37" s="112"/>
      <c r="G37" s="112"/>
      <c r="H37" s="81"/>
      <c r="I37" s="112"/>
      <c r="J37" s="81"/>
      <c r="K37" s="112"/>
      <c r="L37" s="112"/>
      <c r="M37" s="208"/>
      <c r="N37" s="208"/>
      <c r="O37" s="208"/>
      <c r="P37" s="208"/>
      <c r="Q37" s="208"/>
      <c r="R37" s="208"/>
      <c r="S37" s="208"/>
      <c r="T37" s="208"/>
    </row>
    <row r="38" spans="1:20" ht="15.75" customHeight="1" x14ac:dyDescent="0.2">
      <c r="A38" s="113" t="s">
        <v>527</v>
      </c>
      <c r="B38" s="112">
        <v>5.19</v>
      </c>
      <c r="C38" s="112">
        <v>5.17</v>
      </c>
      <c r="D38" s="112">
        <v>5.6</v>
      </c>
      <c r="E38" s="394">
        <v>5.19</v>
      </c>
      <c r="F38" s="394">
        <v>5.17</v>
      </c>
      <c r="G38" s="394">
        <v>4.91</v>
      </c>
      <c r="H38" s="394">
        <v>4.3</v>
      </c>
      <c r="I38" s="394">
        <v>3.96</v>
      </c>
      <c r="J38" s="112">
        <v>3.9</v>
      </c>
      <c r="K38" s="394">
        <v>4.21</v>
      </c>
      <c r="L38" s="394"/>
      <c r="M38" s="208"/>
      <c r="N38" s="208"/>
      <c r="O38" s="208"/>
      <c r="P38" s="208"/>
      <c r="Q38" s="208"/>
      <c r="R38" s="208"/>
      <c r="S38" s="208"/>
      <c r="T38" s="208"/>
    </row>
    <row r="39" spans="1:20" ht="15.75" customHeight="1" x14ac:dyDescent="0.2">
      <c r="A39" s="113" t="s">
        <v>528</v>
      </c>
      <c r="B39" s="112"/>
      <c r="C39" s="112">
        <v>108</v>
      </c>
      <c r="D39" s="112">
        <v>108</v>
      </c>
      <c r="E39" s="396">
        <v>105</v>
      </c>
      <c r="F39" s="396">
        <v>104</v>
      </c>
      <c r="G39" s="396">
        <v>100</v>
      </c>
      <c r="H39" s="396">
        <v>96</v>
      </c>
      <c r="I39" s="396">
        <v>94</v>
      </c>
      <c r="J39" s="396">
        <v>95</v>
      </c>
      <c r="K39" s="396">
        <v>95</v>
      </c>
      <c r="L39" s="396">
        <v>94</v>
      </c>
      <c r="M39" s="398">
        <v>104</v>
      </c>
      <c r="N39" s="398"/>
      <c r="O39" s="398"/>
      <c r="P39" s="398"/>
      <c r="Q39" s="398"/>
      <c r="R39" s="398"/>
      <c r="S39" s="398"/>
      <c r="T39" s="398"/>
    </row>
    <row r="40" spans="1:20" ht="15.75" customHeight="1" x14ac:dyDescent="0.2">
      <c r="A40" s="400" t="s">
        <v>529</v>
      </c>
      <c r="B40" s="81">
        <v>1773.31575</v>
      </c>
      <c r="C40" s="81">
        <v>2437.65</v>
      </c>
      <c r="D40" s="81">
        <v>2220</v>
      </c>
      <c r="E40" s="81">
        <v>2713</v>
      </c>
      <c r="F40" s="81">
        <v>3848.6000000000004</v>
      </c>
      <c r="G40" s="81">
        <v>4072.5885102603525</v>
      </c>
      <c r="H40" s="81">
        <v>4271.7767455395551</v>
      </c>
      <c r="I40" s="81">
        <v>3725.3130000000001</v>
      </c>
      <c r="J40" s="81">
        <v>3577.8690000000001</v>
      </c>
      <c r="K40" s="81">
        <v>3424.3999999999996</v>
      </c>
      <c r="L40" s="81">
        <v>3019.4354713425564</v>
      </c>
      <c r="M40" s="398">
        <v>2660</v>
      </c>
      <c r="N40" s="398"/>
      <c r="O40" s="398"/>
      <c r="P40" s="398"/>
      <c r="Q40" s="398"/>
      <c r="R40" s="398"/>
      <c r="S40" s="398"/>
      <c r="T40" s="398"/>
    </row>
    <row r="41" spans="1:20" ht="15.75" customHeight="1" x14ac:dyDescent="0.2">
      <c r="A41" s="400" t="s">
        <v>531</v>
      </c>
      <c r="B41" s="81">
        <v>416.68424999999996</v>
      </c>
      <c r="C41" s="81">
        <v>487.34999999999997</v>
      </c>
      <c r="D41" s="81">
        <v>570</v>
      </c>
      <c r="E41" s="81">
        <v>597</v>
      </c>
      <c r="F41" s="81">
        <v>820</v>
      </c>
      <c r="G41" s="81">
        <v>961.31148973964696</v>
      </c>
      <c r="H41" s="81">
        <v>1210.5232544604453</v>
      </c>
      <c r="I41" s="81">
        <v>1217.787</v>
      </c>
      <c r="J41" s="81">
        <v>1253.931</v>
      </c>
      <c r="K41" s="81">
        <v>1296.1000000000001</v>
      </c>
      <c r="L41" s="81">
        <v>1296.1000000000001</v>
      </c>
      <c r="M41" s="398">
        <v>1002.9</v>
      </c>
      <c r="N41" s="398"/>
      <c r="O41" s="398"/>
      <c r="P41" s="398"/>
      <c r="Q41" s="398"/>
      <c r="R41" s="398"/>
      <c r="S41" s="398"/>
      <c r="T41" s="398"/>
    </row>
    <row r="42" spans="1:20" ht="15.75" customHeight="1" x14ac:dyDescent="0.2">
      <c r="A42" s="400" t="s">
        <v>533</v>
      </c>
      <c r="B42" s="338">
        <f>'Newspaper (RV)'!B42</f>
        <v>2190</v>
      </c>
      <c r="C42" s="338">
        <f>'Newspaper (RV)'!C42</f>
        <v>2925</v>
      </c>
      <c r="D42" s="338">
        <f>'Newspaper (RV)'!D42</f>
        <v>2790</v>
      </c>
      <c r="E42" s="338">
        <f>'Newspaper (RV)'!E42</f>
        <v>3310</v>
      </c>
      <c r="F42" s="338">
        <f>'Newspaper (RV)'!F42</f>
        <v>4668.6000000000004</v>
      </c>
      <c r="G42" s="338">
        <f>'Newspaper (RV)'!G42</f>
        <v>5033.8999999999996</v>
      </c>
      <c r="H42" s="338">
        <f>'Newspaper (RV)'!H42</f>
        <v>5434.3</v>
      </c>
      <c r="I42" s="338">
        <f>'Newspaper (RV)'!I42</f>
        <v>4943.1000000000004</v>
      </c>
      <c r="J42" s="338">
        <f>'Newspaper (RV)'!J42</f>
        <v>4831.8</v>
      </c>
      <c r="K42" s="338">
        <f>'Newspaper (RV)'!K42</f>
        <v>4720.5</v>
      </c>
      <c r="L42" s="338">
        <f>'Newspaper (RV)'!L42</f>
        <v>4315.5354713425568</v>
      </c>
      <c r="M42" s="338">
        <f>'Newspaper (RV)'!M42</f>
        <v>3662.9057889999999</v>
      </c>
      <c r="N42" s="178"/>
      <c r="O42" s="178"/>
      <c r="P42" s="178"/>
      <c r="Q42" s="178"/>
      <c r="R42" s="178"/>
      <c r="S42" s="178"/>
      <c r="T42" s="178"/>
    </row>
    <row r="43" spans="1:20" ht="15.75" customHeight="1" x14ac:dyDescent="0.2">
      <c r="A43" s="400" t="s">
        <v>42</v>
      </c>
      <c r="B43" s="291">
        <f t="shared" ref="B43:D43" si="0">SUM(B11+B3+B13+B6)</f>
        <v>64.30512857532797</v>
      </c>
      <c r="C43" s="291">
        <f t="shared" si="0"/>
        <v>67.242100312383243</v>
      </c>
      <c r="D43" s="291">
        <f t="shared" si="0"/>
        <v>70.158705239565265</v>
      </c>
      <c r="E43" s="291">
        <f>SUM(E11+E3+E13+E10)</f>
        <v>66.721782477341392</v>
      </c>
      <c r="F43" s="291">
        <f>SUM(F3+F4+F12+F10)</f>
        <v>67.884093732596483</v>
      </c>
      <c r="G43" s="291">
        <f t="shared" ref="G43:H43" si="1">SUM(G3+G4+G12+G8)</f>
        <v>69.498211566783738</v>
      </c>
      <c r="H43" s="291">
        <f t="shared" si="1"/>
        <v>74.521218466016762</v>
      </c>
      <c r="I43" s="291">
        <f t="shared" ref="I43:M43" si="2">SUM(I3+I4+I12+I7)</f>
        <v>73.259594036947917</v>
      </c>
      <c r="J43" s="291">
        <f t="shared" si="2"/>
        <v>74.121871766215492</v>
      </c>
      <c r="K43" s="291">
        <f t="shared" si="2"/>
        <v>67.256864738904767</v>
      </c>
      <c r="L43" s="291">
        <f t="shared" si="2"/>
        <v>67.443740304104267</v>
      </c>
      <c r="M43" s="291">
        <f t="shared" si="2"/>
        <v>72.125797172666509</v>
      </c>
      <c r="N43" s="108"/>
      <c r="O43" s="108"/>
      <c r="P43" s="108"/>
      <c r="Q43" s="108"/>
      <c r="R43" s="108"/>
      <c r="S43" s="108"/>
      <c r="T43" s="108"/>
    </row>
    <row r="44" spans="1:20" ht="15.75" customHeight="1" x14ac:dyDescent="0.2">
      <c r="A44" s="400" t="s">
        <v>43</v>
      </c>
      <c r="B44" s="291">
        <f t="shared" ref="B44:M44" si="3">SUMSQ(B3:B34)</f>
        <v>1314.8526441598092</v>
      </c>
      <c r="C44" s="291">
        <f t="shared" si="3"/>
        <v>1371.1573919278687</v>
      </c>
      <c r="D44" s="291">
        <f t="shared" si="3"/>
        <v>1562.0762518910769</v>
      </c>
      <c r="E44" s="291">
        <f t="shared" si="3"/>
        <v>1497.7897245768743</v>
      </c>
      <c r="F44" s="291">
        <f t="shared" si="3"/>
        <v>1330.4274795745032</v>
      </c>
      <c r="G44" s="291">
        <f t="shared" si="3"/>
        <v>1457.0390184777207</v>
      </c>
      <c r="H44" s="291">
        <f t="shared" si="3"/>
        <v>1596.419855638648</v>
      </c>
      <c r="I44" s="291">
        <f t="shared" si="3"/>
        <v>1545.5517493248583</v>
      </c>
      <c r="J44" s="291">
        <f t="shared" si="3"/>
        <v>1571.7009142369482</v>
      </c>
      <c r="K44" s="291">
        <f t="shared" si="3"/>
        <v>1328.3205142126237</v>
      </c>
      <c r="L44" s="291">
        <f t="shared" si="3"/>
        <v>1358.1143538671886</v>
      </c>
      <c r="M44" s="291">
        <f t="shared" si="3"/>
        <v>1571.2138481869551</v>
      </c>
      <c r="N44" s="108"/>
      <c r="O44" s="108"/>
      <c r="P44" s="108"/>
      <c r="Q44" s="108"/>
      <c r="R44" s="108"/>
      <c r="S44" s="108"/>
      <c r="T44" s="108"/>
    </row>
    <row r="45" spans="1:20" ht="15.75" customHeight="1" x14ac:dyDescent="0.25">
      <c r="A45" s="170"/>
      <c r="B45" s="11"/>
      <c r="C45" s="11"/>
      <c r="D45" s="11"/>
      <c r="E45" s="11"/>
      <c r="F45" s="11"/>
      <c r="G45" s="11"/>
      <c r="H45" s="11"/>
      <c r="I45" s="11"/>
      <c r="J45" s="11"/>
      <c r="K45" s="431"/>
      <c r="L45" s="431"/>
      <c r="M45" s="441"/>
      <c r="N45" s="441"/>
      <c r="O45" s="441"/>
      <c r="P45" s="441"/>
      <c r="Q45" s="441"/>
      <c r="R45" s="441"/>
      <c r="S45" s="441"/>
      <c r="T45" s="441"/>
    </row>
    <row r="46" spans="1:20" ht="15.75" customHeight="1" x14ac:dyDescent="0.25">
      <c r="A46" s="88"/>
      <c r="B46" s="3"/>
      <c r="C46" s="443"/>
      <c r="D46" s="443"/>
      <c r="E46" s="443"/>
      <c r="F46" s="443"/>
      <c r="G46" s="443"/>
      <c r="H46" s="443"/>
      <c r="I46" s="443"/>
      <c r="J46" s="443"/>
      <c r="K46" s="83"/>
      <c r="L46" s="83"/>
      <c r="M46" s="441"/>
      <c r="N46" s="441"/>
      <c r="O46" s="441"/>
      <c r="P46" s="441"/>
      <c r="Q46" s="441"/>
      <c r="R46" s="441"/>
      <c r="S46" s="441"/>
      <c r="T46" s="441"/>
    </row>
    <row r="47" spans="1:20" ht="15.75" customHeight="1" x14ac:dyDescent="0.25">
      <c r="A47" s="234"/>
      <c r="B47" s="443"/>
      <c r="C47" s="443"/>
      <c r="D47" s="443"/>
      <c r="E47" s="443"/>
      <c r="F47" s="443"/>
      <c r="G47" s="443"/>
      <c r="H47" s="443"/>
      <c r="I47" s="443"/>
      <c r="J47" s="443"/>
      <c r="K47" s="83"/>
      <c r="L47" s="83"/>
      <c r="M47" s="441"/>
      <c r="N47" s="441"/>
      <c r="O47" s="441"/>
      <c r="P47" s="441"/>
      <c r="Q47" s="441"/>
      <c r="R47" s="441"/>
      <c r="S47" s="441"/>
      <c r="T47" s="441"/>
    </row>
    <row r="48" spans="1:20" ht="15.75" customHeight="1" x14ac:dyDescent="0.25">
      <c r="A48" s="234"/>
      <c r="B48" s="443"/>
      <c r="C48" s="443"/>
      <c r="D48" s="443"/>
      <c r="E48" s="443"/>
      <c r="F48" s="443"/>
      <c r="G48" s="443"/>
      <c r="H48" s="443"/>
      <c r="I48" s="443"/>
      <c r="J48" s="443"/>
      <c r="K48" s="83"/>
      <c r="L48" s="83"/>
      <c r="M48" s="441"/>
      <c r="N48" s="441"/>
      <c r="O48" s="441"/>
      <c r="P48" s="441"/>
      <c r="Q48" s="441"/>
      <c r="R48" s="441"/>
      <c r="S48" s="441"/>
      <c r="T48" s="441"/>
    </row>
    <row r="49" spans="1:20" ht="15.75" customHeight="1" x14ac:dyDescent="0.25">
      <c r="A49" s="234"/>
      <c r="B49" s="443"/>
      <c r="C49" s="443"/>
      <c r="D49" s="443"/>
      <c r="E49" s="443"/>
      <c r="F49" s="443"/>
      <c r="G49" s="443"/>
      <c r="H49" s="443"/>
      <c r="I49" s="443"/>
      <c r="J49" s="443"/>
      <c r="K49" s="83"/>
      <c r="L49" s="83"/>
      <c r="M49" s="441"/>
      <c r="N49" s="441"/>
      <c r="O49" s="441"/>
      <c r="P49" s="441"/>
      <c r="Q49" s="441"/>
      <c r="R49" s="441"/>
      <c r="S49" s="441"/>
      <c r="T49" s="441"/>
    </row>
    <row r="50" spans="1:20" ht="15.75" customHeight="1" x14ac:dyDescent="0.25">
      <c r="A50" s="234"/>
      <c r="B50" s="443"/>
      <c r="C50" s="443"/>
      <c r="D50" s="443"/>
      <c r="E50" s="443"/>
      <c r="F50" s="443"/>
      <c r="G50" s="443"/>
      <c r="H50" s="443"/>
      <c r="I50" s="443"/>
      <c r="J50" s="443"/>
      <c r="K50" s="83"/>
      <c r="L50" s="83"/>
      <c r="M50" s="441"/>
      <c r="N50" s="441"/>
      <c r="O50" s="441"/>
      <c r="P50" s="441"/>
      <c r="Q50" s="441"/>
      <c r="R50" s="441"/>
      <c r="S50" s="441"/>
      <c r="T50" s="441"/>
    </row>
    <row r="51" spans="1:20" ht="15.75" customHeight="1" x14ac:dyDescent="0.25">
      <c r="A51" s="234"/>
      <c r="B51" s="443"/>
      <c r="C51" s="443"/>
      <c r="D51" s="443"/>
      <c r="E51" s="443"/>
      <c r="F51" s="443"/>
      <c r="G51" s="443"/>
      <c r="H51" s="443"/>
      <c r="I51" s="443"/>
      <c r="J51" s="443"/>
      <c r="K51" s="83"/>
      <c r="L51" s="83"/>
      <c r="M51" s="441"/>
      <c r="N51" s="441"/>
      <c r="O51" s="441"/>
      <c r="P51" s="441"/>
      <c r="Q51" s="441"/>
      <c r="R51" s="441"/>
      <c r="S51" s="441"/>
      <c r="T51" s="441"/>
    </row>
    <row r="52" spans="1:20" ht="15.75" customHeight="1" x14ac:dyDescent="0.25">
      <c r="A52" s="234"/>
      <c r="B52" s="443"/>
      <c r="C52" s="443"/>
      <c r="D52" s="443"/>
      <c r="E52" s="443"/>
      <c r="F52" s="443"/>
      <c r="G52" s="443"/>
      <c r="H52" s="443"/>
      <c r="I52" s="443"/>
      <c r="J52" s="443"/>
      <c r="K52" s="83"/>
      <c r="L52" s="83"/>
      <c r="M52" s="441"/>
      <c r="N52" s="441"/>
      <c r="O52" s="441"/>
      <c r="P52" s="441"/>
      <c r="Q52" s="441"/>
      <c r="R52" s="441"/>
      <c r="S52" s="441"/>
      <c r="T52" s="441"/>
    </row>
    <row r="53" spans="1:20" ht="15.75" customHeight="1" x14ac:dyDescent="0.25">
      <c r="A53" s="234"/>
      <c r="B53" s="443"/>
      <c r="C53" s="443"/>
      <c r="D53" s="443"/>
      <c r="E53" s="443"/>
      <c r="F53" s="443"/>
      <c r="G53" s="443"/>
      <c r="H53" s="443"/>
      <c r="I53" s="443"/>
      <c r="J53" s="448"/>
      <c r="K53" s="83"/>
      <c r="L53" s="83"/>
      <c r="M53" s="441"/>
      <c r="N53" s="441"/>
      <c r="O53" s="441"/>
      <c r="P53" s="441"/>
      <c r="Q53" s="441"/>
      <c r="R53" s="441"/>
      <c r="S53" s="441"/>
      <c r="T53" s="441"/>
    </row>
    <row r="54" spans="1:20" ht="15.75" customHeight="1" x14ac:dyDescent="0.25">
      <c r="A54" s="234"/>
      <c r="B54" s="443"/>
      <c r="C54" s="443"/>
      <c r="D54" s="443"/>
      <c r="E54" s="443"/>
      <c r="F54" s="443"/>
      <c r="G54" s="443"/>
      <c r="H54" s="443"/>
      <c r="I54" s="443"/>
      <c r="J54" s="448"/>
      <c r="K54" s="83"/>
      <c r="L54" s="83"/>
      <c r="M54" s="441"/>
      <c r="N54" s="441"/>
      <c r="O54" s="441"/>
      <c r="P54" s="441"/>
      <c r="Q54" s="441"/>
      <c r="R54" s="441"/>
      <c r="S54" s="441"/>
      <c r="T54" s="441"/>
    </row>
    <row r="55" spans="1:20" ht="15.75" customHeight="1" x14ac:dyDescent="0.25">
      <c r="A55" s="234"/>
      <c r="B55" s="443"/>
      <c r="C55" s="443"/>
      <c r="D55" s="443"/>
      <c r="E55" s="443"/>
      <c r="F55" s="443"/>
      <c r="G55" s="443"/>
      <c r="H55" s="443"/>
      <c r="I55" s="443"/>
      <c r="J55" s="448"/>
      <c r="K55" s="441"/>
      <c r="L55" s="441"/>
      <c r="M55" s="441"/>
      <c r="N55" s="441"/>
      <c r="O55" s="441"/>
      <c r="P55" s="441"/>
      <c r="Q55" s="441"/>
      <c r="R55" s="441"/>
      <c r="S55" s="441"/>
      <c r="T55" s="441"/>
    </row>
    <row r="56" spans="1:20" ht="15.75" customHeight="1" x14ac:dyDescent="0.25">
      <c r="A56" s="234"/>
      <c r="B56" s="443"/>
      <c r="C56" s="443"/>
      <c r="D56" s="443"/>
      <c r="E56" s="443"/>
      <c r="F56" s="443"/>
      <c r="G56" s="443"/>
      <c r="H56" s="443"/>
      <c r="I56" s="443"/>
      <c r="J56" s="443"/>
      <c r="K56" s="441"/>
      <c r="L56" s="441"/>
      <c r="M56" s="441"/>
      <c r="N56" s="441"/>
      <c r="O56" s="441"/>
      <c r="P56" s="441"/>
      <c r="Q56" s="441"/>
      <c r="R56" s="441"/>
      <c r="S56" s="441"/>
      <c r="T56" s="441"/>
    </row>
    <row r="57" spans="1:20" ht="15.75" customHeight="1" x14ac:dyDescent="0.25">
      <c r="A57" s="234"/>
      <c r="B57" s="443"/>
      <c r="C57" s="443"/>
      <c r="D57" s="443"/>
      <c r="E57" s="443"/>
      <c r="F57" s="443"/>
      <c r="G57" s="443"/>
      <c r="H57" s="443"/>
      <c r="I57" s="443"/>
      <c r="J57" s="443"/>
      <c r="K57" s="441"/>
      <c r="L57" s="441"/>
      <c r="M57" s="441"/>
      <c r="N57" s="441"/>
      <c r="O57" s="441"/>
      <c r="P57" s="441"/>
      <c r="Q57" s="441"/>
      <c r="R57" s="441"/>
      <c r="S57" s="441"/>
      <c r="T57" s="441"/>
    </row>
    <row r="58" spans="1:20" ht="15.75" customHeight="1" x14ac:dyDescent="0.25">
      <c r="A58" s="234"/>
      <c r="B58" s="443"/>
      <c r="C58" s="443"/>
      <c r="D58" s="443"/>
      <c r="E58" s="443"/>
      <c r="F58" s="443"/>
      <c r="G58" s="443"/>
      <c r="H58" s="443"/>
      <c r="I58" s="443"/>
      <c r="J58" s="443"/>
      <c r="K58" s="441"/>
      <c r="L58" s="441"/>
      <c r="M58" s="441"/>
      <c r="N58" s="441"/>
      <c r="O58" s="441"/>
      <c r="P58" s="441"/>
      <c r="Q58" s="441"/>
      <c r="R58" s="441"/>
      <c r="S58" s="441"/>
      <c r="T58" s="441"/>
    </row>
    <row r="59" spans="1:20" ht="15.75" customHeight="1" x14ac:dyDescent="0.25">
      <c r="A59" s="234"/>
      <c r="B59" s="443"/>
      <c r="C59" s="443"/>
      <c r="D59" s="443"/>
      <c r="E59" s="443"/>
      <c r="F59" s="443"/>
      <c r="G59" s="443"/>
      <c r="H59" s="443"/>
      <c r="I59" s="443"/>
      <c r="J59" s="443"/>
      <c r="K59" s="441"/>
      <c r="L59" s="441"/>
      <c r="M59" s="441"/>
      <c r="N59" s="441"/>
      <c r="O59" s="441"/>
      <c r="P59" s="441"/>
      <c r="Q59" s="441"/>
      <c r="R59" s="441"/>
      <c r="S59" s="441"/>
      <c r="T59" s="441"/>
    </row>
    <row r="60" spans="1:20" ht="15.75" customHeight="1" x14ac:dyDescent="0.25">
      <c r="A60" s="234"/>
      <c r="B60" s="443"/>
      <c r="C60" s="443"/>
      <c r="D60" s="443"/>
      <c r="E60" s="443"/>
      <c r="F60" s="443"/>
      <c r="G60" s="443"/>
      <c r="H60" s="443"/>
      <c r="I60" s="443"/>
      <c r="J60" s="443"/>
      <c r="K60" s="441"/>
      <c r="L60" s="441"/>
      <c r="M60" s="441"/>
      <c r="N60" s="441"/>
      <c r="O60" s="441"/>
      <c r="P60" s="441"/>
      <c r="Q60" s="441"/>
      <c r="R60" s="441"/>
      <c r="S60" s="441"/>
      <c r="T60" s="441"/>
    </row>
    <row r="61" spans="1:20" ht="15.75" customHeight="1" x14ac:dyDescent="0.25">
      <c r="A61" s="234"/>
      <c r="B61" s="443"/>
      <c r="C61" s="443"/>
      <c r="D61" s="443"/>
      <c r="E61" s="443"/>
      <c r="F61" s="443"/>
      <c r="G61" s="443"/>
      <c r="H61" s="443"/>
      <c r="I61" s="443"/>
      <c r="J61" s="443"/>
      <c r="K61" s="441"/>
      <c r="L61" s="441"/>
      <c r="M61" s="441"/>
      <c r="N61" s="441"/>
      <c r="O61" s="441"/>
      <c r="P61" s="441"/>
      <c r="Q61" s="441"/>
      <c r="R61" s="441"/>
      <c r="S61" s="441"/>
      <c r="T61" s="441"/>
    </row>
    <row r="62" spans="1:20" ht="15.75" customHeight="1" x14ac:dyDescent="0.25">
      <c r="A62" s="234"/>
      <c r="B62" s="443"/>
      <c r="C62" s="443"/>
      <c r="D62" s="443"/>
      <c r="E62" s="443"/>
      <c r="F62" s="443"/>
      <c r="G62" s="443"/>
      <c r="H62" s="443"/>
      <c r="I62" s="443"/>
      <c r="J62" s="443"/>
      <c r="K62" s="441"/>
      <c r="L62" s="441"/>
      <c r="M62" s="441"/>
      <c r="N62" s="441"/>
      <c r="O62" s="441"/>
      <c r="P62" s="441"/>
      <c r="Q62" s="441"/>
      <c r="R62" s="441"/>
      <c r="S62" s="441"/>
      <c r="T62" s="441"/>
    </row>
    <row r="63" spans="1:20" ht="15.75" customHeight="1" x14ac:dyDescent="0.25">
      <c r="A63" s="234"/>
      <c r="B63" s="443"/>
      <c r="C63" s="443"/>
      <c r="D63" s="443"/>
      <c r="E63" s="443"/>
      <c r="F63" s="443"/>
      <c r="G63" s="443"/>
      <c r="H63" s="443"/>
      <c r="I63" s="443"/>
      <c r="J63" s="443"/>
      <c r="K63" s="441"/>
      <c r="L63" s="441"/>
      <c r="M63" s="441"/>
      <c r="N63" s="441"/>
      <c r="O63" s="441"/>
      <c r="P63" s="441"/>
      <c r="Q63" s="441"/>
      <c r="R63" s="441"/>
      <c r="S63" s="441"/>
      <c r="T63" s="441"/>
    </row>
    <row r="64" spans="1:20" ht="15.75" customHeight="1" x14ac:dyDescent="0.25">
      <c r="A64" s="234"/>
      <c r="B64" s="443"/>
      <c r="C64" s="443"/>
      <c r="D64" s="443"/>
      <c r="E64" s="443"/>
      <c r="F64" s="443"/>
      <c r="G64" s="443"/>
      <c r="H64" s="443"/>
      <c r="I64" s="443"/>
      <c r="J64" s="443"/>
      <c r="K64" s="441"/>
      <c r="L64" s="441"/>
      <c r="M64" s="441"/>
      <c r="N64" s="441"/>
      <c r="O64" s="441"/>
      <c r="P64" s="441"/>
      <c r="Q64" s="441"/>
      <c r="R64" s="441"/>
      <c r="S64" s="441"/>
      <c r="T64" s="441"/>
    </row>
    <row r="65" spans="1:20" ht="15.75" customHeight="1" x14ac:dyDescent="0.25">
      <c r="A65" s="234"/>
      <c r="B65" s="443"/>
      <c r="C65" s="443"/>
      <c r="D65" s="443"/>
      <c r="E65" s="443"/>
      <c r="F65" s="443"/>
      <c r="G65" s="443"/>
      <c r="H65" s="443"/>
      <c r="I65" s="443"/>
      <c r="J65" s="443"/>
      <c r="K65" s="441"/>
      <c r="L65" s="441"/>
      <c r="M65" s="441"/>
      <c r="N65" s="441"/>
      <c r="O65" s="441"/>
      <c r="P65" s="441"/>
      <c r="Q65" s="441"/>
      <c r="R65" s="441"/>
      <c r="S65" s="441"/>
      <c r="T65" s="441"/>
    </row>
    <row r="66" spans="1:20" ht="15.75" customHeight="1" x14ac:dyDescent="0.25">
      <c r="A66" s="234"/>
      <c r="B66" s="455"/>
      <c r="C66" s="455"/>
      <c r="D66" s="455"/>
      <c r="E66" s="455"/>
      <c r="F66" s="455"/>
      <c r="G66" s="455"/>
      <c r="H66" s="455"/>
      <c r="I66" s="455"/>
      <c r="J66" s="455"/>
      <c r="K66" s="441"/>
      <c r="L66" s="441"/>
      <c r="M66" s="441"/>
      <c r="N66" s="441"/>
      <c r="O66" s="441"/>
      <c r="P66" s="441"/>
      <c r="Q66" s="441"/>
      <c r="R66" s="441"/>
      <c r="S66" s="441"/>
      <c r="T66" s="441"/>
    </row>
    <row r="67" spans="1:20" ht="15.75" customHeight="1" x14ac:dyDescent="0.25">
      <c r="A67" s="234"/>
      <c r="B67" s="443"/>
      <c r="C67" s="443"/>
      <c r="D67" s="443"/>
      <c r="E67" s="443"/>
      <c r="F67" s="443"/>
      <c r="G67" s="443"/>
      <c r="H67" s="443"/>
      <c r="I67" s="443"/>
      <c r="J67" s="443"/>
      <c r="K67" s="441"/>
      <c r="L67" s="441"/>
      <c r="M67" s="441"/>
      <c r="N67" s="441"/>
      <c r="O67" s="441"/>
      <c r="P67" s="441"/>
      <c r="Q67" s="441"/>
      <c r="R67" s="441"/>
      <c r="S67" s="441"/>
      <c r="T67" s="441"/>
    </row>
  </sheetData>
  <mergeCells count="1">
    <mergeCell ref="O6:Q14"/>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6.875" customWidth="1"/>
    <col min="2" max="2" width="10.875" customWidth="1"/>
    <col min="3" max="3" width="10.375" customWidth="1"/>
    <col min="4" max="4" width="11" customWidth="1"/>
    <col min="5" max="5" width="10.25" customWidth="1"/>
    <col min="6" max="6" width="9.375" customWidth="1"/>
    <col min="7" max="7" width="9.875" customWidth="1"/>
    <col min="8" max="21" width="9.375" customWidth="1"/>
  </cols>
  <sheetData>
    <row r="1" spans="1:21" ht="18" customHeight="1" x14ac:dyDescent="0.25">
      <c r="A1" s="124">
        <v>1847.1</v>
      </c>
      <c r="B1" s="7" t="s">
        <v>185</v>
      </c>
      <c r="C1" s="75"/>
      <c r="D1" s="75"/>
      <c r="E1" s="75"/>
      <c r="F1" s="75"/>
      <c r="G1" s="75"/>
      <c r="H1" s="75"/>
      <c r="I1" s="75"/>
      <c r="J1" s="75"/>
      <c r="K1" s="79"/>
      <c r="L1" s="125"/>
      <c r="M1" s="125"/>
      <c r="N1" s="125"/>
      <c r="O1" s="125"/>
      <c r="P1" s="125"/>
      <c r="Q1" s="125"/>
      <c r="R1" s="125"/>
      <c r="S1" s="125"/>
      <c r="T1" s="125"/>
      <c r="U1" s="125"/>
    </row>
    <row r="2" spans="1:21" ht="15.75" customHeight="1" x14ac:dyDescent="0.25">
      <c r="A2" s="10"/>
      <c r="B2" s="12">
        <v>1984</v>
      </c>
      <c r="C2" s="12">
        <v>1988</v>
      </c>
      <c r="D2" s="12">
        <v>1992</v>
      </c>
      <c r="E2" s="12">
        <v>1996</v>
      </c>
      <c r="F2" s="12">
        <v>2000</v>
      </c>
      <c r="G2" s="12">
        <v>2004</v>
      </c>
      <c r="H2" s="12">
        <v>2008</v>
      </c>
      <c r="I2" s="12">
        <v>2010</v>
      </c>
      <c r="J2" s="12">
        <v>2011</v>
      </c>
      <c r="K2" s="12">
        <v>2012</v>
      </c>
      <c r="L2" s="4">
        <v>2013</v>
      </c>
      <c r="M2" s="4">
        <v>2014</v>
      </c>
      <c r="N2" s="4"/>
      <c r="O2" s="4"/>
      <c r="P2" s="4"/>
      <c r="Q2" s="4"/>
      <c r="R2" s="4"/>
      <c r="S2" s="4"/>
      <c r="T2" s="4"/>
      <c r="U2" s="4"/>
    </row>
    <row r="3" spans="1:21" ht="15.75" customHeight="1" x14ac:dyDescent="0.2">
      <c r="A3" s="21" t="s">
        <v>17</v>
      </c>
      <c r="B3" s="108"/>
      <c r="C3" s="108"/>
      <c r="D3" s="108"/>
      <c r="E3" s="108">
        <v>208.4</v>
      </c>
      <c r="F3" s="108">
        <v>302.7</v>
      </c>
      <c r="G3" s="108">
        <v>278.60000000000002</v>
      </c>
      <c r="H3" s="108">
        <v>299.2</v>
      </c>
      <c r="I3" s="108">
        <v>285.19</v>
      </c>
      <c r="J3" s="108">
        <v>273.87</v>
      </c>
      <c r="K3" s="108">
        <v>226.8</v>
      </c>
      <c r="L3" s="81">
        <v>238.56000000000003</v>
      </c>
      <c r="M3" s="128">
        <v>200.9</v>
      </c>
      <c r="N3" s="128"/>
      <c r="O3" s="128"/>
      <c r="P3" s="128"/>
      <c r="Q3" s="128"/>
      <c r="R3" s="128"/>
      <c r="S3" s="128"/>
      <c r="T3" s="128"/>
      <c r="U3" s="128"/>
    </row>
    <row r="4" spans="1:21" ht="15.75" customHeight="1" x14ac:dyDescent="0.2">
      <c r="A4" s="21" t="s">
        <v>175</v>
      </c>
      <c r="B4" s="108">
        <v>125.9</v>
      </c>
      <c r="C4" s="108">
        <v>337.6</v>
      </c>
      <c r="D4" s="108">
        <v>365.2</v>
      </c>
      <c r="E4" s="108" t="s">
        <v>181</v>
      </c>
      <c r="F4" s="108"/>
      <c r="G4" s="108"/>
      <c r="H4" s="108"/>
      <c r="I4" s="108"/>
      <c r="J4" s="108"/>
      <c r="K4" s="108"/>
      <c r="L4" s="81"/>
      <c r="M4" s="81"/>
      <c r="N4" s="81"/>
      <c r="O4" s="81"/>
      <c r="P4" s="81"/>
      <c r="Q4" s="81"/>
      <c r="R4" s="81"/>
      <c r="S4" s="81"/>
      <c r="T4" s="81"/>
      <c r="U4" s="81"/>
    </row>
    <row r="5" spans="1:21" ht="15.75" customHeight="1" x14ac:dyDescent="0.2">
      <c r="A5" s="21" t="s">
        <v>184</v>
      </c>
      <c r="B5" s="108">
        <v>11.8</v>
      </c>
      <c r="C5" s="108">
        <v>19.600000000000001</v>
      </c>
      <c r="D5" s="108">
        <v>26.432169999999999</v>
      </c>
      <c r="E5" s="108">
        <v>41.819389999999999</v>
      </c>
      <c r="F5" s="108">
        <v>115.1</v>
      </c>
      <c r="G5" s="108">
        <v>129.80000000000001</v>
      </c>
      <c r="H5" s="108">
        <v>148.80000000000001</v>
      </c>
      <c r="I5" s="108">
        <v>152.1</v>
      </c>
      <c r="J5" s="108">
        <v>153.1</v>
      </c>
      <c r="K5" s="108">
        <v>146.5</v>
      </c>
      <c r="L5" s="108">
        <v>146.41769662921348</v>
      </c>
      <c r="M5" s="128">
        <v>138.30000000000001</v>
      </c>
      <c r="N5" s="128"/>
      <c r="O5" s="128"/>
      <c r="P5" s="128"/>
      <c r="Q5" s="128"/>
      <c r="R5" s="128"/>
      <c r="S5" s="128"/>
      <c r="T5" s="128"/>
      <c r="U5" s="128"/>
    </row>
    <row r="6" spans="1:21" ht="15.75" customHeight="1" x14ac:dyDescent="0.2">
      <c r="A6" s="21" t="s">
        <v>198</v>
      </c>
      <c r="B6" s="108">
        <v>102</v>
      </c>
      <c r="C6" s="108">
        <v>126.4</v>
      </c>
      <c r="D6" s="108">
        <v>176.6</v>
      </c>
      <c r="E6" s="108">
        <v>140.5</v>
      </c>
      <c r="F6" s="108" t="s">
        <v>199</v>
      </c>
      <c r="G6" s="108"/>
      <c r="H6" s="108"/>
      <c r="I6" s="108"/>
      <c r="J6" s="108"/>
      <c r="K6" s="108"/>
      <c r="L6" s="108"/>
      <c r="M6" s="81"/>
      <c r="N6" s="81"/>
      <c r="O6" s="81"/>
      <c r="P6" s="626" t="s">
        <v>8</v>
      </c>
      <c r="Q6" s="623"/>
      <c r="R6" s="623"/>
      <c r="S6" s="623"/>
      <c r="T6" s="623"/>
      <c r="U6" s="623"/>
    </row>
    <row r="7" spans="1:21" ht="15.75" customHeight="1" x14ac:dyDescent="0.2">
      <c r="A7" s="21" t="s">
        <v>201</v>
      </c>
      <c r="B7" s="108">
        <v>13.4</v>
      </c>
      <c r="C7" s="108">
        <v>16.8</v>
      </c>
      <c r="D7" s="108">
        <v>21</v>
      </c>
      <c r="E7" s="108">
        <v>56.5</v>
      </c>
      <c r="F7" s="108">
        <v>72.2</v>
      </c>
      <c r="G7" s="108">
        <v>120.8</v>
      </c>
      <c r="H7" s="108">
        <v>113.3</v>
      </c>
      <c r="I7" s="108">
        <v>91.9</v>
      </c>
      <c r="J7" s="108">
        <v>91.9</v>
      </c>
      <c r="K7" s="108">
        <v>85.9</v>
      </c>
      <c r="L7" s="108">
        <v>86.393678160919549</v>
      </c>
      <c r="M7" s="128">
        <v>83.9</v>
      </c>
      <c r="N7" s="128"/>
      <c r="O7" s="128"/>
      <c r="P7" s="623"/>
      <c r="Q7" s="623"/>
      <c r="R7" s="623"/>
      <c r="S7" s="623"/>
      <c r="T7" s="623"/>
      <c r="U7" s="623"/>
    </row>
    <row r="8" spans="1:21" ht="15.75" customHeight="1" x14ac:dyDescent="0.2">
      <c r="A8" s="21" t="s">
        <v>90</v>
      </c>
      <c r="B8" s="108">
        <v>36</v>
      </c>
      <c r="C8" s="108">
        <v>53</v>
      </c>
      <c r="D8" s="108">
        <v>45.4</v>
      </c>
      <c r="E8" s="108">
        <v>45.6</v>
      </c>
      <c r="F8" s="108">
        <v>29.4</v>
      </c>
      <c r="G8" s="108">
        <v>76.099999999999994</v>
      </c>
      <c r="H8" s="108">
        <v>78.599999999999994</v>
      </c>
      <c r="I8" s="108">
        <v>75</v>
      </c>
      <c r="J8" s="108">
        <v>70.599999999999994</v>
      </c>
      <c r="K8" s="108">
        <v>67.400000000000006</v>
      </c>
      <c r="L8" s="108">
        <v>67.900000000000006</v>
      </c>
      <c r="M8" s="128">
        <v>68.599999999999994</v>
      </c>
      <c r="N8" s="128"/>
      <c r="O8" s="128"/>
      <c r="P8" s="623"/>
      <c r="Q8" s="623"/>
      <c r="R8" s="623"/>
      <c r="S8" s="623"/>
      <c r="T8" s="623"/>
      <c r="U8" s="623"/>
    </row>
    <row r="9" spans="1:21" ht="15.75" customHeight="1" x14ac:dyDescent="0.2">
      <c r="A9" s="21" t="s">
        <v>203</v>
      </c>
      <c r="B9" s="108">
        <v>48.7</v>
      </c>
      <c r="C9" s="108">
        <v>60.9</v>
      </c>
      <c r="D9" s="108">
        <v>76.099999999999994</v>
      </c>
      <c r="E9" s="108">
        <v>72.7</v>
      </c>
      <c r="F9" s="108">
        <v>70.599999999999994</v>
      </c>
      <c r="G9" s="108">
        <v>68.400000000000006</v>
      </c>
      <c r="H9" s="108">
        <v>67.2</v>
      </c>
      <c r="I9" s="108">
        <v>51.9</v>
      </c>
      <c r="J9" s="108">
        <v>50.1</v>
      </c>
      <c r="K9" s="108">
        <v>48.7</v>
      </c>
      <c r="L9" s="108">
        <v>48.979885057471265</v>
      </c>
      <c r="M9" s="185">
        <v>48.774999999999999</v>
      </c>
      <c r="N9" s="185"/>
      <c r="O9" s="185"/>
      <c r="P9" s="623"/>
      <c r="Q9" s="623"/>
      <c r="R9" s="623"/>
      <c r="S9" s="623"/>
      <c r="T9" s="623"/>
      <c r="U9" s="623"/>
    </row>
    <row r="10" spans="1:21" ht="15.75" customHeight="1" x14ac:dyDescent="0.2">
      <c r="A10" s="21" t="s">
        <v>302</v>
      </c>
      <c r="B10" s="108">
        <v>13.7</v>
      </c>
      <c r="C10" s="108">
        <v>15.9</v>
      </c>
      <c r="D10" s="108">
        <v>18.8</v>
      </c>
      <c r="E10" s="108">
        <v>21.6</v>
      </c>
      <c r="F10" s="108">
        <v>30.6</v>
      </c>
      <c r="G10" s="108">
        <v>39.6</v>
      </c>
      <c r="H10" s="108">
        <v>57.1</v>
      </c>
      <c r="I10" s="108">
        <v>45.3</v>
      </c>
      <c r="J10" s="108">
        <v>42.8</v>
      </c>
      <c r="K10" s="108">
        <v>45.7</v>
      </c>
      <c r="L10" s="108">
        <v>45.962643678160923</v>
      </c>
      <c r="M10" s="185">
        <v>44.872999999999998</v>
      </c>
      <c r="N10" s="185"/>
      <c r="O10" s="185"/>
      <c r="P10" s="623"/>
      <c r="Q10" s="623"/>
      <c r="R10" s="623"/>
      <c r="S10" s="623"/>
      <c r="T10" s="623"/>
      <c r="U10" s="623"/>
    </row>
    <row r="11" spans="1:21" ht="15.75" customHeight="1" x14ac:dyDescent="0.2">
      <c r="A11" s="21" t="s">
        <v>313</v>
      </c>
      <c r="B11" s="108">
        <v>13.2</v>
      </c>
      <c r="C11" s="108">
        <v>15.5</v>
      </c>
      <c r="D11" s="108">
        <v>18.3</v>
      </c>
      <c r="E11" s="108">
        <v>21.2</v>
      </c>
      <c r="F11" s="108">
        <v>38.9</v>
      </c>
      <c r="G11" s="108">
        <v>56.6</v>
      </c>
      <c r="H11" s="108">
        <v>61.9</v>
      </c>
      <c r="I11" s="108">
        <v>50.436254485488753</v>
      </c>
      <c r="J11" s="108">
        <v>43.408273335889604</v>
      </c>
      <c r="K11" s="108">
        <v>44.026339837154431</v>
      </c>
      <c r="L11" s="108">
        <v>44.252873563218394</v>
      </c>
      <c r="M11" s="185">
        <v>42.921999999999997</v>
      </c>
      <c r="N11" s="185"/>
      <c r="O11" s="185"/>
      <c r="P11" s="623"/>
      <c r="Q11" s="623"/>
      <c r="R11" s="623"/>
      <c r="S11" s="623"/>
      <c r="T11" s="623"/>
      <c r="U11" s="623"/>
    </row>
    <row r="12" spans="1:21" ht="15.75" customHeight="1" x14ac:dyDescent="0.2">
      <c r="A12" s="21" t="s">
        <v>315</v>
      </c>
      <c r="B12" s="108">
        <v>5.8</v>
      </c>
      <c r="C12" s="108">
        <v>7.2</v>
      </c>
      <c r="D12" s="108">
        <v>9.1</v>
      </c>
      <c r="E12" s="108">
        <v>21.4</v>
      </c>
      <c r="F12" s="108">
        <v>22.3</v>
      </c>
      <c r="G12" s="108">
        <v>23.1</v>
      </c>
      <c r="H12" s="108">
        <v>28.5</v>
      </c>
      <c r="I12" s="108">
        <v>29.8</v>
      </c>
      <c r="J12" s="108">
        <v>32.1</v>
      </c>
      <c r="K12" s="108">
        <v>32.1</v>
      </c>
      <c r="L12" s="108">
        <v>32.28448275862069</v>
      </c>
      <c r="M12" s="185">
        <v>31.216000000000001</v>
      </c>
      <c r="N12" s="185"/>
      <c r="O12" s="185"/>
      <c r="P12" s="623"/>
      <c r="Q12" s="623"/>
      <c r="R12" s="623"/>
      <c r="S12" s="623"/>
      <c r="T12" s="623"/>
      <c r="U12" s="623"/>
    </row>
    <row r="13" spans="1:21" ht="15.75" customHeight="1" x14ac:dyDescent="0.2">
      <c r="A13" s="21" t="s">
        <v>317</v>
      </c>
      <c r="B13" s="108">
        <v>25</v>
      </c>
      <c r="C13" s="108">
        <v>31.2</v>
      </c>
      <c r="D13" s="108">
        <v>39</v>
      </c>
      <c r="E13" s="108">
        <v>45.3</v>
      </c>
      <c r="F13" s="108">
        <v>52.2</v>
      </c>
      <c r="G13" s="108">
        <v>51.4</v>
      </c>
      <c r="H13" s="108">
        <v>50.6</v>
      </c>
      <c r="I13" s="108">
        <v>36.799999999999997</v>
      </c>
      <c r="J13" s="108">
        <v>30.8</v>
      </c>
      <c r="K13" s="108">
        <v>30.8</v>
      </c>
      <c r="L13" s="108">
        <v>30.977011494252874</v>
      </c>
      <c r="M13" s="185">
        <v>31.216000000000001</v>
      </c>
      <c r="N13" s="185"/>
      <c r="O13" s="185"/>
      <c r="P13" s="623"/>
      <c r="Q13" s="623"/>
      <c r="R13" s="623"/>
      <c r="S13" s="623"/>
      <c r="T13" s="623"/>
      <c r="U13" s="623"/>
    </row>
    <row r="14" spans="1:21" ht="15.75" customHeight="1" x14ac:dyDescent="0.2">
      <c r="A14" s="21" t="s">
        <v>318</v>
      </c>
      <c r="B14" s="108"/>
      <c r="C14" s="108"/>
      <c r="D14" s="108"/>
      <c r="E14" s="108">
        <v>4.8</v>
      </c>
      <c r="F14" s="108">
        <v>15.3</v>
      </c>
      <c r="G14" s="108">
        <v>21.1</v>
      </c>
      <c r="H14" s="108">
        <v>34.799999999999997</v>
      </c>
      <c r="I14" s="108">
        <v>31.7</v>
      </c>
      <c r="J14" s="108">
        <v>27.9</v>
      </c>
      <c r="K14" s="108">
        <v>28.7</v>
      </c>
      <c r="L14" s="108">
        <v>28.864942528735629</v>
      </c>
      <c r="M14" s="185">
        <v>27.314</v>
      </c>
      <c r="N14" s="185"/>
      <c r="O14" s="185"/>
      <c r="P14" s="623"/>
      <c r="Q14" s="623"/>
      <c r="R14" s="623"/>
      <c r="S14" s="623"/>
      <c r="T14" s="623"/>
      <c r="U14" s="623"/>
    </row>
    <row r="15" spans="1:21" ht="15.75" customHeight="1" x14ac:dyDescent="0.2">
      <c r="A15" s="21" t="s">
        <v>319</v>
      </c>
      <c r="B15" s="108">
        <v>12.3</v>
      </c>
      <c r="C15" s="108">
        <v>15.4</v>
      </c>
      <c r="D15" s="108">
        <v>19.2</v>
      </c>
      <c r="E15" s="108">
        <v>22.8</v>
      </c>
      <c r="F15" s="108">
        <v>28.7</v>
      </c>
      <c r="G15" s="108">
        <v>34.4</v>
      </c>
      <c r="H15" s="108">
        <v>40.1</v>
      </c>
      <c r="I15" s="108">
        <v>32.673567122263314</v>
      </c>
      <c r="J15" s="108">
        <v>28.120706959114266</v>
      </c>
      <c r="K15" s="108">
        <v>28.521102220838333</v>
      </c>
      <c r="L15" s="108">
        <v>28.663793103448278</v>
      </c>
      <c r="M15" s="185">
        <v>27.314</v>
      </c>
      <c r="N15" s="185"/>
      <c r="O15" s="185"/>
      <c r="P15" s="623"/>
      <c r="Q15" s="623"/>
      <c r="R15" s="623"/>
      <c r="S15" s="623"/>
      <c r="T15" s="623"/>
      <c r="U15" s="623"/>
    </row>
    <row r="16" spans="1:21" ht="15.75" customHeight="1" x14ac:dyDescent="0.2">
      <c r="A16" s="21" t="s">
        <v>322</v>
      </c>
      <c r="B16" s="108">
        <v>7.6</v>
      </c>
      <c r="C16" s="108">
        <v>9.5</v>
      </c>
      <c r="D16" s="108">
        <v>11.9</v>
      </c>
      <c r="E16" s="108">
        <v>17.600000000000001</v>
      </c>
      <c r="F16" s="108">
        <v>24.5</v>
      </c>
      <c r="G16" s="108">
        <v>31.4</v>
      </c>
      <c r="H16" s="108">
        <v>35.5</v>
      </c>
      <c r="I16" s="108">
        <v>28.92547712818822</v>
      </c>
      <c r="J16" s="108">
        <v>24.89489020071213</v>
      </c>
      <c r="K16" s="108">
        <v>25.249354833909248</v>
      </c>
      <c r="L16" s="108">
        <v>25.344827586206897</v>
      </c>
      <c r="M16" s="185">
        <v>25.363</v>
      </c>
      <c r="N16" s="185"/>
      <c r="O16" s="185"/>
      <c r="P16" s="185"/>
      <c r="Q16" s="185"/>
      <c r="R16" s="185"/>
      <c r="S16" s="185"/>
      <c r="T16" s="185"/>
      <c r="U16" s="185"/>
    </row>
    <row r="17" spans="1:21" ht="15.75" customHeight="1" x14ac:dyDescent="0.2">
      <c r="A17" s="21" t="s">
        <v>324</v>
      </c>
      <c r="B17" s="108">
        <v>1.6</v>
      </c>
      <c r="C17" s="108">
        <v>2</v>
      </c>
      <c r="D17" s="108">
        <v>2.5</v>
      </c>
      <c r="E17" s="108">
        <v>12</v>
      </c>
      <c r="F17" s="108">
        <v>15</v>
      </c>
      <c r="G17" s="108">
        <v>17.899999999999999</v>
      </c>
      <c r="H17" s="108">
        <v>23.3</v>
      </c>
      <c r="I17" s="108">
        <v>27.3</v>
      </c>
      <c r="J17" s="108">
        <v>24.8</v>
      </c>
      <c r="K17" s="108">
        <v>24.8</v>
      </c>
      <c r="L17" s="108">
        <v>24.942528735632184</v>
      </c>
      <c r="M17" s="185">
        <v>23.411999999999999</v>
      </c>
      <c r="N17" s="185"/>
      <c r="O17" s="185"/>
      <c r="P17" s="185"/>
      <c r="Q17" s="185"/>
      <c r="R17" s="185"/>
      <c r="S17" s="185"/>
      <c r="T17" s="185"/>
      <c r="U17" s="185"/>
    </row>
    <row r="18" spans="1:21" ht="15.75" customHeight="1" x14ac:dyDescent="0.2">
      <c r="A18" s="21" t="s">
        <v>326</v>
      </c>
      <c r="B18" s="108">
        <v>4.5</v>
      </c>
      <c r="C18" s="108">
        <v>5.6</v>
      </c>
      <c r="D18" s="108">
        <v>7</v>
      </c>
      <c r="E18" s="108">
        <v>8.6999999999999993</v>
      </c>
      <c r="F18" s="108">
        <v>16.3</v>
      </c>
      <c r="G18" s="108">
        <v>23.8</v>
      </c>
      <c r="H18" s="108">
        <v>23.2</v>
      </c>
      <c r="I18" s="108">
        <v>16.5</v>
      </c>
      <c r="J18" s="108">
        <v>17.2</v>
      </c>
      <c r="K18" s="108">
        <v>16.5</v>
      </c>
      <c r="L18" s="108">
        <v>16.594827586206897</v>
      </c>
      <c r="M18" s="185">
        <v>15.608000000000001</v>
      </c>
      <c r="N18" s="185"/>
      <c r="O18" s="185"/>
      <c r="P18" s="185"/>
      <c r="Q18" s="185"/>
      <c r="R18" s="185"/>
      <c r="S18" s="185"/>
      <c r="T18" s="185"/>
      <c r="U18" s="185"/>
    </row>
    <row r="19" spans="1:21" ht="15.75" customHeight="1" x14ac:dyDescent="0.2">
      <c r="A19" s="21" t="s">
        <v>329</v>
      </c>
      <c r="B19" s="108"/>
      <c r="C19" s="108"/>
      <c r="D19" s="108"/>
      <c r="E19" s="108"/>
      <c r="F19" s="108"/>
      <c r="G19" s="108">
        <v>9.9</v>
      </c>
      <c r="H19" s="108">
        <v>11.7</v>
      </c>
      <c r="I19" s="108">
        <v>12.4</v>
      </c>
      <c r="J19" s="108">
        <v>12.1</v>
      </c>
      <c r="K19" s="108">
        <v>12.1</v>
      </c>
      <c r="L19" s="108">
        <v>12.169540229885056</v>
      </c>
      <c r="M19" s="185">
        <v>11.706</v>
      </c>
      <c r="N19" s="185"/>
      <c r="O19" s="185"/>
      <c r="P19" s="185"/>
      <c r="Q19" s="185"/>
      <c r="R19" s="185"/>
      <c r="S19" s="185"/>
      <c r="T19" s="185"/>
      <c r="U19" s="185"/>
    </row>
    <row r="20" spans="1:21" ht="15.75" customHeight="1" x14ac:dyDescent="0.2">
      <c r="A20" s="21" t="s">
        <v>334</v>
      </c>
      <c r="B20" s="108">
        <v>2.2000000000000002</v>
      </c>
      <c r="C20" s="108">
        <v>2.7</v>
      </c>
      <c r="D20" s="108">
        <v>3.4</v>
      </c>
      <c r="E20" s="108">
        <v>2.4</v>
      </c>
      <c r="F20" s="108">
        <v>16</v>
      </c>
      <c r="G20" s="108">
        <v>16.7</v>
      </c>
      <c r="H20" s="108">
        <v>16.3</v>
      </c>
      <c r="I20" s="108">
        <v>13.281275413787831</v>
      </c>
      <c r="J20" s="108">
        <v>11.430611556946698</v>
      </c>
      <c r="K20" s="108">
        <v>11.593365740640021</v>
      </c>
      <c r="L20" s="108">
        <v>11.666666666666668</v>
      </c>
      <c r="M20" s="185">
        <v>11.706</v>
      </c>
      <c r="N20" s="185"/>
      <c r="O20" s="185"/>
      <c r="P20" s="185"/>
      <c r="Q20" s="185"/>
      <c r="R20" s="185"/>
      <c r="S20" s="185"/>
      <c r="T20" s="185"/>
      <c r="U20" s="185"/>
    </row>
    <row r="21" spans="1:21" ht="15.75" customHeight="1" x14ac:dyDescent="0.2">
      <c r="A21" s="21" t="s">
        <v>338</v>
      </c>
      <c r="B21" s="108"/>
      <c r="C21" s="108"/>
      <c r="D21" s="108"/>
      <c r="E21" s="108"/>
      <c r="F21" s="108"/>
      <c r="G21" s="108">
        <v>6.6</v>
      </c>
      <c r="H21" s="108">
        <v>12.3</v>
      </c>
      <c r="I21" s="108">
        <v>11.9</v>
      </c>
      <c r="J21" s="108">
        <v>11.2</v>
      </c>
      <c r="K21" s="108">
        <v>11.2</v>
      </c>
      <c r="L21" s="108">
        <v>11.264367816091953</v>
      </c>
      <c r="M21" s="185">
        <v>11.706</v>
      </c>
      <c r="N21" s="185"/>
      <c r="O21" s="185"/>
      <c r="P21" s="185"/>
      <c r="Q21" s="185"/>
      <c r="R21" s="185"/>
      <c r="S21" s="185"/>
      <c r="T21" s="185"/>
      <c r="U21" s="185"/>
    </row>
    <row r="22" spans="1:21" ht="15.75" customHeight="1" x14ac:dyDescent="0.2">
      <c r="A22" s="21" t="s">
        <v>343</v>
      </c>
      <c r="B22" s="108"/>
      <c r="C22" s="108"/>
      <c r="D22" s="108"/>
      <c r="E22" s="108"/>
      <c r="F22" s="108"/>
      <c r="G22" s="108">
        <v>9.3000000000000007</v>
      </c>
      <c r="H22" s="108">
        <v>10.7</v>
      </c>
      <c r="I22" s="108">
        <v>9.8000000000000007</v>
      </c>
      <c r="J22" s="108">
        <f t="shared" ref="J22:K22" si="0">I22*0.98</f>
        <v>9.604000000000001</v>
      </c>
      <c r="K22" s="108">
        <f t="shared" si="0"/>
        <v>9.4119200000000003</v>
      </c>
      <c r="L22" s="108">
        <v>9.4540229885057485</v>
      </c>
      <c r="M22" s="185">
        <v>9.7550000000000008</v>
      </c>
      <c r="N22" s="185"/>
      <c r="O22" s="185"/>
      <c r="P22" s="185"/>
      <c r="Q22" s="185"/>
      <c r="R22" s="185"/>
      <c r="S22" s="185"/>
      <c r="T22" s="185"/>
      <c r="U22" s="185"/>
    </row>
    <row r="23" spans="1:21" ht="15.75" customHeight="1" x14ac:dyDescent="0.2">
      <c r="A23" s="21" t="s">
        <v>355</v>
      </c>
      <c r="B23" s="108"/>
      <c r="C23" s="108"/>
      <c r="D23" s="108"/>
      <c r="E23" s="108"/>
      <c r="F23" s="108"/>
      <c r="G23" s="108">
        <v>5.6</v>
      </c>
      <c r="H23" s="108">
        <v>6.3</v>
      </c>
      <c r="I23" s="108">
        <v>8.3000000000000007</v>
      </c>
      <c r="J23" s="108">
        <v>9.1</v>
      </c>
      <c r="K23" s="108">
        <v>9.1</v>
      </c>
      <c r="L23" s="108">
        <v>9.1522988505747129</v>
      </c>
      <c r="M23" s="185">
        <v>9.7550000000000008</v>
      </c>
      <c r="N23" s="185"/>
      <c r="O23" s="185"/>
      <c r="P23" s="185"/>
      <c r="Q23" s="185"/>
      <c r="R23" s="185"/>
      <c r="S23" s="185"/>
      <c r="T23" s="185"/>
      <c r="U23" s="185"/>
    </row>
    <row r="24" spans="1:21" ht="15.75" customHeight="1" x14ac:dyDescent="0.2">
      <c r="A24" s="21" t="s">
        <v>300</v>
      </c>
      <c r="B24" s="108"/>
      <c r="C24" s="108"/>
      <c r="D24" s="108"/>
      <c r="E24" s="108"/>
      <c r="F24" s="108"/>
      <c r="G24" s="108">
        <v>7.5</v>
      </c>
      <c r="H24" s="108">
        <v>7.7</v>
      </c>
      <c r="I24" s="108">
        <v>7.3</v>
      </c>
      <c r="J24" s="108">
        <v>6.7</v>
      </c>
      <c r="K24" s="108">
        <v>6.7</v>
      </c>
      <c r="L24" s="108">
        <v>6.7385057471264371</v>
      </c>
      <c r="M24" s="185">
        <v>5.8529999999999998</v>
      </c>
      <c r="N24" s="185"/>
      <c r="O24" s="185"/>
      <c r="P24" s="185"/>
      <c r="Q24" s="185"/>
      <c r="R24" s="185"/>
      <c r="S24" s="185"/>
      <c r="T24" s="185"/>
      <c r="U24" s="185"/>
    </row>
    <row r="25" spans="1:21" ht="15.75" customHeight="1" x14ac:dyDescent="0.2">
      <c r="A25" s="21" t="s">
        <v>360</v>
      </c>
      <c r="B25" s="108"/>
      <c r="C25" s="108"/>
      <c r="D25" s="108"/>
      <c r="E25" s="108"/>
      <c r="F25" s="108"/>
      <c r="G25" s="108">
        <v>3.6</v>
      </c>
      <c r="H25" s="108">
        <v>8</v>
      </c>
      <c r="I25" s="108">
        <v>6.5184173810001624</v>
      </c>
      <c r="J25" s="108">
        <v>5.6101161015689307</v>
      </c>
      <c r="K25" s="108">
        <v>5.6899954555288446</v>
      </c>
      <c r="L25" s="108">
        <v>5.7327586206896548</v>
      </c>
      <c r="M25" s="185">
        <v>5.8529999999999998</v>
      </c>
      <c r="N25" s="185"/>
      <c r="O25" s="185"/>
      <c r="P25" s="185"/>
      <c r="Q25" s="185"/>
      <c r="R25" s="185"/>
      <c r="S25" s="185"/>
      <c r="T25" s="185"/>
      <c r="U25" s="185"/>
    </row>
    <row r="26" spans="1:21" ht="15.75" customHeight="1" x14ac:dyDescent="0.2">
      <c r="A26" s="21" t="s">
        <v>362</v>
      </c>
      <c r="B26" s="108"/>
      <c r="C26" s="108"/>
      <c r="D26" s="108"/>
      <c r="E26" s="108"/>
      <c r="F26" s="108"/>
      <c r="G26" s="108">
        <v>8.5</v>
      </c>
      <c r="H26" s="108">
        <v>9.1999999999999993</v>
      </c>
      <c r="I26" s="108">
        <v>7.5</v>
      </c>
      <c r="J26" s="108">
        <v>5.4</v>
      </c>
      <c r="K26" s="108">
        <v>5.4</v>
      </c>
      <c r="L26" s="108">
        <v>5.431034482758621</v>
      </c>
      <c r="M26" s="185">
        <v>5.8529999999999998</v>
      </c>
      <c r="N26" s="185"/>
      <c r="O26" s="185"/>
      <c r="P26" s="185"/>
      <c r="Q26" s="185"/>
      <c r="R26" s="185"/>
      <c r="S26" s="185"/>
      <c r="T26" s="185"/>
      <c r="U26" s="185"/>
    </row>
    <row r="27" spans="1:21" ht="15.75" customHeight="1" x14ac:dyDescent="0.2">
      <c r="A27" s="21" t="s">
        <v>473</v>
      </c>
      <c r="B27" s="108"/>
      <c r="C27" s="108"/>
      <c r="D27" s="108"/>
      <c r="E27" s="108"/>
      <c r="F27" s="108"/>
      <c r="G27" s="108"/>
      <c r="H27" s="108">
        <v>7.1</v>
      </c>
      <c r="I27" s="108">
        <v>6.8</v>
      </c>
      <c r="J27" s="108">
        <v>5</v>
      </c>
      <c r="K27" s="108">
        <v>5</v>
      </c>
      <c r="L27" s="108">
        <v>5.028735632183909</v>
      </c>
      <c r="M27" s="185">
        <v>5.8529999999999998</v>
      </c>
      <c r="N27" s="185"/>
      <c r="O27" s="185"/>
      <c r="P27" s="185"/>
      <c r="Q27" s="185"/>
      <c r="R27" s="185"/>
      <c r="S27" s="185"/>
      <c r="T27" s="185"/>
      <c r="U27" s="185"/>
    </row>
    <row r="28" spans="1:21" ht="15.75" customHeight="1" x14ac:dyDescent="0.2">
      <c r="A28" s="21" t="s">
        <v>474</v>
      </c>
      <c r="B28" s="219"/>
      <c r="C28" s="219"/>
      <c r="D28" s="108"/>
      <c r="E28" s="108"/>
      <c r="F28" s="108"/>
      <c r="G28" s="108">
        <v>9.9</v>
      </c>
      <c r="H28" s="108">
        <v>3.3</v>
      </c>
      <c r="I28" s="108">
        <v>4.9000000000000004</v>
      </c>
      <c r="J28" s="108">
        <v>4.4000000000000004</v>
      </c>
      <c r="K28" s="108">
        <v>4.4000000000000004</v>
      </c>
      <c r="L28" s="108">
        <v>4.4252873563218396</v>
      </c>
      <c r="M28" s="185">
        <v>3.9020000000000001</v>
      </c>
      <c r="N28" s="185"/>
      <c r="O28" s="185"/>
      <c r="P28" s="185"/>
      <c r="Q28" s="185"/>
      <c r="R28" s="185"/>
      <c r="S28" s="185"/>
      <c r="T28" s="185"/>
      <c r="U28" s="185"/>
    </row>
    <row r="29" spans="1:21" ht="15.75" customHeight="1" x14ac:dyDescent="0.2">
      <c r="A29" s="21" t="s">
        <v>475</v>
      </c>
      <c r="B29" s="108"/>
      <c r="C29" s="108"/>
      <c r="D29" s="108"/>
      <c r="E29" s="108"/>
      <c r="F29" s="108"/>
      <c r="G29" s="108">
        <v>3.6</v>
      </c>
      <c r="H29" s="108">
        <v>5.4</v>
      </c>
      <c r="I29" s="108">
        <v>5.4</v>
      </c>
      <c r="J29" s="108">
        <v>4.3</v>
      </c>
      <c r="K29" s="108">
        <v>4.3</v>
      </c>
      <c r="L29" s="108">
        <v>4.3247126436781613</v>
      </c>
      <c r="M29" s="185">
        <v>3.9020000000000001</v>
      </c>
      <c r="N29" s="185"/>
      <c r="O29" s="185"/>
      <c r="P29" s="185"/>
      <c r="Q29" s="185"/>
      <c r="R29" s="185"/>
      <c r="S29" s="185"/>
      <c r="T29" s="185"/>
      <c r="U29" s="185"/>
    </row>
    <row r="30" spans="1:21" ht="15.75" customHeight="1" x14ac:dyDescent="0.2">
      <c r="A30" s="21" t="s">
        <v>478</v>
      </c>
      <c r="B30" s="108"/>
      <c r="C30" s="108"/>
      <c r="D30" s="108"/>
      <c r="E30" s="108"/>
      <c r="F30" s="108"/>
      <c r="G30" s="108">
        <v>3.6</v>
      </c>
      <c r="H30" s="108">
        <v>3.5</v>
      </c>
      <c r="I30" s="108">
        <v>4.3</v>
      </c>
      <c r="J30" s="108">
        <v>4.0999999999999996</v>
      </c>
      <c r="K30" s="108">
        <v>4.0999999999999996</v>
      </c>
      <c r="L30" s="108">
        <v>4.123563218390804</v>
      </c>
      <c r="M30" s="185">
        <v>3.9020000000000001</v>
      </c>
      <c r="N30" s="185"/>
      <c r="O30" s="185"/>
      <c r="P30" s="185"/>
      <c r="Q30" s="185"/>
      <c r="R30" s="185"/>
      <c r="S30" s="185"/>
      <c r="T30" s="185"/>
      <c r="U30" s="185"/>
    </row>
    <row r="31" spans="1:21" ht="15.75" customHeight="1" x14ac:dyDescent="0.2">
      <c r="A31" s="21" t="s">
        <v>480</v>
      </c>
      <c r="B31" s="108"/>
      <c r="C31" s="108"/>
      <c r="D31" s="108"/>
      <c r="E31" s="108"/>
      <c r="F31" s="108"/>
      <c r="G31" s="108">
        <v>4.9000000000000004</v>
      </c>
      <c r="H31" s="108">
        <v>5.5</v>
      </c>
      <c r="I31" s="108">
        <v>4.5999999999999996</v>
      </c>
      <c r="J31" s="108">
        <v>3.7</v>
      </c>
      <c r="K31" s="108">
        <v>3.7</v>
      </c>
      <c r="L31" s="108">
        <v>3.7212643678160924</v>
      </c>
      <c r="M31" s="185">
        <v>3.9020000000000001</v>
      </c>
      <c r="N31" s="185"/>
      <c r="O31" s="185"/>
      <c r="P31" s="185"/>
      <c r="Q31" s="185"/>
      <c r="R31" s="185"/>
      <c r="S31" s="185"/>
      <c r="T31" s="185"/>
      <c r="U31" s="185"/>
    </row>
    <row r="32" spans="1:21" ht="15.75" customHeight="1" x14ac:dyDescent="0.2">
      <c r="A32" s="21" t="s">
        <v>481</v>
      </c>
      <c r="B32" s="108"/>
      <c r="C32" s="108"/>
      <c r="D32" s="108"/>
      <c r="E32" s="108"/>
      <c r="F32" s="108"/>
      <c r="G32" s="108">
        <v>6.2</v>
      </c>
      <c r="H32" s="108">
        <v>6.4</v>
      </c>
      <c r="I32" s="108">
        <v>3.6</v>
      </c>
      <c r="J32" s="108">
        <v>3.4</v>
      </c>
      <c r="K32" s="108">
        <v>3.4</v>
      </c>
      <c r="L32" s="108">
        <v>3.4195402298850572</v>
      </c>
      <c r="M32" s="185">
        <v>3.9020000000000001</v>
      </c>
      <c r="N32" s="185"/>
      <c r="O32" s="185"/>
      <c r="P32" s="185"/>
      <c r="Q32" s="185"/>
      <c r="R32" s="185"/>
      <c r="S32" s="185"/>
      <c r="T32" s="185"/>
      <c r="U32" s="185"/>
    </row>
    <row r="33" spans="1:21" ht="15.75" customHeight="1" x14ac:dyDescent="0.2">
      <c r="A33" s="21" t="s">
        <v>482</v>
      </c>
      <c r="B33" s="108"/>
      <c r="C33" s="108"/>
      <c r="D33" s="108"/>
      <c r="E33" s="108"/>
      <c r="F33" s="108"/>
      <c r="G33" s="108">
        <v>6.7</v>
      </c>
      <c r="H33" s="108">
        <v>5.5</v>
      </c>
      <c r="I33" s="108"/>
      <c r="J33" s="108"/>
      <c r="K33" s="108"/>
      <c r="L33" s="108"/>
      <c r="M33" s="185">
        <v>0</v>
      </c>
      <c r="N33" s="185"/>
      <c r="O33" s="185"/>
      <c r="P33" s="185"/>
      <c r="Q33" s="185"/>
      <c r="R33" s="185"/>
      <c r="S33" s="185"/>
      <c r="T33" s="185"/>
      <c r="U33" s="185"/>
    </row>
    <row r="34" spans="1:21" ht="15.75" customHeight="1" x14ac:dyDescent="0.2">
      <c r="A34" s="21" t="s">
        <v>484</v>
      </c>
      <c r="B34" s="108"/>
      <c r="C34" s="108"/>
      <c r="D34" s="108"/>
      <c r="E34" s="108"/>
      <c r="F34" s="108"/>
      <c r="G34" s="108"/>
      <c r="H34" s="108">
        <v>5.4</v>
      </c>
      <c r="I34" s="108">
        <v>3.8</v>
      </c>
      <c r="J34" s="108">
        <v>2.6</v>
      </c>
      <c r="K34" s="108">
        <v>2.6</v>
      </c>
      <c r="L34" s="108">
        <v>2.6149425287356323</v>
      </c>
      <c r="M34" s="185">
        <v>1.9510000000000001</v>
      </c>
      <c r="N34" s="185"/>
      <c r="O34" s="185"/>
      <c r="P34" s="185"/>
      <c r="Q34" s="185"/>
      <c r="R34" s="185"/>
      <c r="S34" s="185"/>
      <c r="T34" s="185"/>
      <c r="U34" s="185"/>
    </row>
    <row r="35" spans="1:21" ht="15.75" customHeight="1" x14ac:dyDescent="0.2">
      <c r="A35" s="21" t="s">
        <v>485</v>
      </c>
      <c r="B35" s="108"/>
      <c r="C35" s="108"/>
      <c r="D35" s="108"/>
      <c r="E35" s="108"/>
      <c r="F35" s="108"/>
      <c r="G35" s="108">
        <v>2.8</v>
      </c>
      <c r="H35" s="108">
        <v>3.7</v>
      </c>
      <c r="I35" s="108"/>
      <c r="J35" s="108"/>
      <c r="K35" s="108"/>
      <c r="L35" s="108"/>
      <c r="M35" s="81"/>
      <c r="N35" s="81"/>
      <c r="O35" s="81"/>
      <c r="P35" s="81"/>
      <c r="Q35" s="81"/>
      <c r="R35" s="81"/>
      <c r="S35" s="81"/>
      <c r="T35" s="81"/>
      <c r="U35" s="81"/>
    </row>
    <row r="36" spans="1:21" ht="15.75" customHeight="1" x14ac:dyDescent="0.2">
      <c r="A36" s="21"/>
      <c r="B36" s="108"/>
      <c r="C36" s="108"/>
      <c r="D36" s="108"/>
      <c r="E36" s="108"/>
      <c r="F36" s="108"/>
      <c r="G36" s="108"/>
      <c r="H36" s="108"/>
      <c r="I36" s="108"/>
      <c r="J36" s="108"/>
      <c r="K36" s="108"/>
      <c r="L36" s="108"/>
      <c r="M36" s="81"/>
      <c r="N36" s="81"/>
      <c r="O36" s="81"/>
      <c r="P36" s="81"/>
      <c r="Q36" s="81"/>
      <c r="R36" s="81"/>
      <c r="S36" s="81"/>
      <c r="T36" s="81"/>
      <c r="U36" s="81"/>
    </row>
    <row r="37" spans="1:21" ht="15.75" customHeight="1" x14ac:dyDescent="0.2">
      <c r="A37" s="21"/>
      <c r="B37" s="108"/>
      <c r="C37" s="108"/>
      <c r="D37" s="108"/>
      <c r="E37" s="108"/>
      <c r="F37" s="108"/>
      <c r="G37" s="108"/>
      <c r="H37" s="108"/>
      <c r="I37" s="108"/>
      <c r="J37" s="108"/>
      <c r="K37" s="108"/>
      <c r="L37" s="108"/>
      <c r="M37" s="81"/>
      <c r="N37" s="81"/>
      <c r="O37" s="81"/>
      <c r="P37" s="81"/>
      <c r="Q37" s="81"/>
      <c r="R37" s="81"/>
      <c r="S37" s="81"/>
      <c r="T37" s="81"/>
      <c r="U37" s="81"/>
    </row>
    <row r="38" spans="1:21" ht="15.75" customHeight="1" x14ac:dyDescent="0.2">
      <c r="A38" s="21"/>
      <c r="B38" s="108"/>
      <c r="C38" s="108"/>
      <c r="D38" s="108"/>
      <c r="E38" s="108"/>
      <c r="F38" s="108"/>
      <c r="G38" s="108"/>
      <c r="H38" s="108"/>
      <c r="I38" s="108"/>
      <c r="J38" s="108"/>
      <c r="K38" s="108"/>
      <c r="L38" s="81"/>
      <c r="M38" s="81"/>
      <c r="N38" s="81"/>
      <c r="O38" s="81"/>
      <c r="P38" s="81"/>
      <c r="Q38" s="81"/>
      <c r="R38" s="81"/>
      <c r="S38" s="81"/>
      <c r="T38" s="81"/>
      <c r="U38" s="81"/>
    </row>
    <row r="39" spans="1:21" ht="15.75" customHeight="1" x14ac:dyDescent="0.2">
      <c r="A39" s="198" t="s">
        <v>488</v>
      </c>
      <c r="B39" s="219">
        <v>771</v>
      </c>
      <c r="C39" s="219">
        <v>775</v>
      </c>
      <c r="D39" s="219">
        <v>993.9</v>
      </c>
      <c r="E39" s="219">
        <v>1011.2</v>
      </c>
      <c r="F39" s="219">
        <v>1300</v>
      </c>
      <c r="G39" s="219">
        <v>1847.1</v>
      </c>
      <c r="H39" s="219">
        <v>2394.4</v>
      </c>
      <c r="I39" s="219">
        <v>2134.5</v>
      </c>
      <c r="J39" s="219">
        <v>2088</v>
      </c>
      <c r="K39" s="219">
        <f>(J39+L39)/2</f>
        <v>2042</v>
      </c>
      <c r="L39" s="290">
        <v>1996</v>
      </c>
      <c r="M39" s="290">
        <v>1951.04</v>
      </c>
      <c r="N39" s="290"/>
      <c r="O39" s="290"/>
      <c r="P39" s="290"/>
      <c r="Q39" s="290"/>
      <c r="R39" s="290"/>
      <c r="S39" s="290"/>
      <c r="T39" s="290"/>
      <c r="U39" s="290"/>
    </row>
    <row r="40" spans="1:21" ht="15.75" customHeight="1" x14ac:dyDescent="0.2">
      <c r="A40" s="198" t="s">
        <v>42</v>
      </c>
      <c r="B40" s="291">
        <f>'Magazines (MS)'!B40</f>
        <v>40.54474708171206</v>
      </c>
      <c r="C40" s="291">
        <f>'Magazines (MS)'!C40</f>
        <v>74.56774193548388</v>
      </c>
      <c r="D40" s="291">
        <f>'Magazines (MS)'!D40</f>
        <v>66.737096287352855</v>
      </c>
      <c r="E40" s="291">
        <f>'Magazines (MS)'!E40</f>
        <v>47.280458860759488</v>
      </c>
      <c r="F40" s="291">
        <f>'Magazines (MS)'!F40</f>
        <v>43.123076923076923</v>
      </c>
      <c r="G40" s="291">
        <f>'Magazines (MS)'!G40</f>
        <v>32.353418872827682</v>
      </c>
      <c r="H40" s="291">
        <f>'Magazines (MS)'!H40</f>
        <v>26.724858002004673</v>
      </c>
      <c r="I40" s="291">
        <f>'Magazines (MS)'!I40</f>
        <v>28.305926446474583</v>
      </c>
      <c r="J40" s="291">
        <f>'Magazines (MS)'!J40</f>
        <v>28.231321839080458</v>
      </c>
      <c r="K40" s="291">
        <f>'Magazines (MS)'!K40</f>
        <v>25.788442703232125</v>
      </c>
      <c r="L40" s="291">
        <f>'Magazines (MS)'!L40</f>
        <v>27.017603947401458</v>
      </c>
      <c r="M40" s="291">
        <f>'Magazines (MS)'!M40</f>
        <v>25.201943578809253</v>
      </c>
      <c r="N40" s="108"/>
      <c r="O40" s="108"/>
      <c r="P40" s="108"/>
      <c r="Q40" s="108"/>
      <c r="R40" s="108"/>
      <c r="S40" s="108"/>
      <c r="T40" s="108"/>
      <c r="U40" s="108"/>
    </row>
    <row r="41" spans="1:21" ht="15.75" customHeight="1" x14ac:dyDescent="0.2">
      <c r="A41" s="198" t="s">
        <v>43</v>
      </c>
      <c r="B41" s="291">
        <f>'Magazines (MS)'!B41</f>
        <v>529.88555634621423</v>
      </c>
      <c r="C41" s="291">
        <f>'Magazines (MS)'!C41</f>
        <v>2314.6444120707602</v>
      </c>
      <c r="D41" s="291">
        <f>'Magazines (MS)'!D41</f>
        <v>1785.920066838836</v>
      </c>
      <c r="E41" s="291">
        <f>'Magazines (MS)'!E41</f>
        <v>782.18798526882711</v>
      </c>
      <c r="F41" s="291">
        <f>'Magazines (MS)'!F41</f>
        <v>733.80639053254458</v>
      </c>
      <c r="G41" s="291">
        <f>'Magazines (MS)'!G41</f>
        <v>386.5900540709502</v>
      </c>
      <c r="H41" s="291">
        <f>'Magazines (MS)'!H41</f>
        <v>265.0912568964514</v>
      </c>
      <c r="I41" s="291">
        <f>'Magazines (MS)'!I41</f>
        <v>291.81162318696653</v>
      </c>
      <c r="J41" s="291">
        <f>'Magazines (MS)'!J41</f>
        <v>284.36097144976412</v>
      </c>
      <c r="K41" s="291">
        <f>'Magazines (MS)'!K41</f>
        <v>233.00435757621628</v>
      </c>
      <c r="L41" s="291">
        <f>'Magazines (MS)'!L41</f>
        <v>258.26880795460522</v>
      </c>
      <c r="M41" s="291">
        <f>'Magazines (MS)'!M41</f>
        <v>218.47073077134758</v>
      </c>
      <c r="N41" s="108"/>
      <c r="O41" s="108"/>
      <c r="P41" s="108"/>
      <c r="Q41" s="108"/>
      <c r="R41" s="108"/>
      <c r="S41" s="108"/>
      <c r="T41" s="108"/>
      <c r="U41" s="108"/>
    </row>
    <row r="42" spans="1:21" ht="15.75" customHeight="1" x14ac:dyDescent="0.25">
      <c r="A42" s="25"/>
      <c r="B42" s="24"/>
      <c r="C42" s="24"/>
      <c r="D42" s="24"/>
      <c r="E42" s="24"/>
      <c r="F42" s="24"/>
      <c r="G42" s="24"/>
      <c r="H42" s="24"/>
      <c r="I42" s="24"/>
      <c r="J42" s="24"/>
      <c r="K42" s="24"/>
      <c r="L42" s="24"/>
      <c r="M42" s="42"/>
      <c r="N42" s="42"/>
      <c r="O42" s="42"/>
      <c r="P42" s="42"/>
      <c r="Q42" s="42"/>
      <c r="R42" s="42"/>
      <c r="S42" s="42"/>
      <c r="T42" s="42"/>
      <c r="U42" s="42"/>
    </row>
    <row r="43" spans="1:21" ht="15.75" customHeight="1" x14ac:dyDescent="0.25">
      <c r="A43" s="9"/>
      <c r="B43" s="631" t="s">
        <v>46</v>
      </c>
      <c r="C43" s="623"/>
      <c r="D43" s="623"/>
      <c r="E43" s="623"/>
      <c r="F43" s="42"/>
      <c r="G43" s="24"/>
      <c r="H43" s="24"/>
      <c r="I43" s="24"/>
      <c r="J43" s="24"/>
      <c r="K43" s="24"/>
      <c r="L43" s="24"/>
      <c r="M43" s="24"/>
      <c r="N43" s="24"/>
      <c r="O43" s="24"/>
      <c r="P43" s="24"/>
      <c r="Q43" s="24"/>
      <c r="R43" s="24"/>
      <c r="S43" s="24"/>
      <c r="T43" s="24"/>
      <c r="U43" s="24"/>
    </row>
    <row r="44" spans="1:21" ht="15.75" customHeight="1" x14ac:dyDescent="0.25">
      <c r="A44" s="9"/>
      <c r="B44" s="642" t="s">
        <v>538</v>
      </c>
      <c r="C44" s="623"/>
      <c r="D44" s="623"/>
      <c r="E44" s="623"/>
      <c r="F44" s="623"/>
      <c r="G44" s="623"/>
      <c r="H44" s="623"/>
      <c r="I44" s="623"/>
      <c r="J44" s="623"/>
      <c r="K44" s="623"/>
      <c r="L44" s="623"/>
      <c r="M44" s="623"/>
      <c r="N44" s="243"/>
      <c r="O44" s="243"/>
      <c r="P44" s="243"/>
      <c r="Q44" s="243"/>
      <c r="R44" s="243"/>
      <c r="S44" s="243"/>
      <c r="T44" s="243"/>
      <c r="U44" s="243"/>
    </row>
    <row r="45" spans="1:21" ht="15.75" customHeight="1" x14ac:dyDescent="0.25">
      <c r="A45" s="9"/>
      <c r="B45" s="623"/>
      <c r="C45" s="623"/>
      <c r="D45" s="623"/>
      <c r="E45" s="623"/>
      <c r="F45" s="623"/>
      <c r="G45" s="623"/>
      <c r="H45" s="623"/>
      <c r="I45" s="623"/>
      <c r="J45" s="623"/>
      <c r="K45" s="623"/>
      <c r="L45" s="623"/>
      <c r="M45" s="623"/>
      <c r="N45" s="243"/>
      <c r="O45" s="243"/>
      <c r="P45" s="243"/>
      <c r="Q45" s="243"/>
      <c r="R45" s="243"/>
      <c r="S45" s="243"/>
      <c r="T45" s="243"/>
      <c r="U45" s="243"/>
    </row>
    <row r="46" spans="1:21" ht="15.75" customHeight="1" x14ac:dyDescent="0.25">
      <c r="A46" s="9"/>
      <c r="B46" s="623"/>
      <c r="C46" s="623"/>
      <c r="D46" s="623"/>
      <c r="E46" s="623"/>
      <c r="F46" s="623"/>
      <c r="G46" s="623"/>
      <c r="H46" s="623"/>
      <c r="I46" s="623"/>
      <c r="J46" s="623"/>
      <c r="K46" s="623"/>
      <c r="L46" s="623"/>
      <c r="M46" s="623"/>
      <c r="N46" s="243"/>
      <c r="O46" s="243"/>
      <c r="P46" s="243"/>
      <c r="Q46" s="243"/>
      <c r="R46" s="243"/>
      <c r="S46" s="243"/>
      <c r="T46" s="243"/>
      <c r="U46" s="243"/>
    </row>
    <row r="47" spans="1:21" ht="15.75" customHeight="1" x14ac:dyDescent="0.25">
      <c r="A47" s="9"/>
      <c r="B47" s="623"/>
      <c r="C47" s="623"/>
      <c r="D47" s="623"/>
      <c r="E47" s="623"/>
      <c r="F47" s="623"/>
      <c r="G47" s="623"/>
      <c r="H47" s="623"/>
      <c r="I47" s="623"/>
      <c r="J47" s="623"/>
      <c r="K47" s="623"/>
      <c r="L47" s="623"/>
      <c r="M47" s="623"/>
      <c r="N47" s="243"/>
      <c r="O47" s="243"/>
      <c r="P47" s="243"/>
      <c r="Q47" s="243"/>
      <c r="R47" s="243"/>
      <c r="S47" s="243"/>
      <c r="T47" s="243"/>
      <c r="U47" s="243"/>
    </row>
    <row r="48" spans="1:21" ht="15.75" customHeight="1" x14ac:dyDescent="0.25">
      <c r="A48" s="9"/>
      <c r="B48" s="623"/>
      <c r="C48" s="623"/>
      <c r="D48" s="623"/>
      <c r="E48" s="623"/>
      <c r="F48" s="623"/>
      <c r="G48" s="623"/>
      <c r="H48" s="623"/>
      <c r="I48" s="623"/>
      <c r="J48" s="623"/>
      <c r="K48" s="623"/>
      <c r="L48" s="623"/>
      <c r="M48" s="623"/>
      <c r="N48" s="243"/>
      <c r="O48" s="243"/>
      <c r="P48" s="243"/>
      <c r="Q48" s="243"/>
      <c r="R48" s="243"/>
      <c r="S48" s="243"/>
      <c r="T48" s="243"/>
      <c r="U48" s="243"/>
    </row>
    <row r="49" spans="1:21" ht="15.75" customHeight="1" x14ac:dyDescent="0.25">
      <c r="A49" s="9"/>
      <c r="B49" s="623"/>
      <c r="C49" s="623"/>
      <c r="D49" s="623"/>
      <c r="E49" s="623"/>
      <c r="F49" s="623"/>
      <c r="G49" s="623"/>
      <c r="H49" s="623"/>
      <c r="I49" s="623"/>
      <c r="J49" s="623"/>
      <c r="K49" s="623"/>
      <c r="L49" s="623"/>
      <c r="M49" s="623"/>
      <c r="N49" s="243"/>
      <c r="O49" s="243"/>
      <c r="P49" s="243"/>
      <c r="Q49" s="243"/>
      <c r="R49" s="243"/>
      <c r="S49" s="243"/>
      <c r="T49" s="243"/>
      <c r="U49" s="243"/>
    </row>
    <row r="50" spans="1:21" ht="15.75" customHeight="1" x14ac:dyDescent="0.25">
      <c r="A50" s="9"/>
      <c r="B50" s="623"/>
      <c r="C50" s="623"/>
      <c r="D50" s="623"/>
      <c r="E50" s="623"/>
      <c r="F50" s="623"/>
      <c r="G50" s="623"/>
      <c r="H50" s="623"/>
      <c r="I50" s="623"/>
      <c r="J50" s="623"/>
      <c r="K50" s="623"/>
      <c r="L50" s="623"/>
      <c r="M50" s="623"/>
      <c r="N50" s="243"/>
      <c r="O50" s="243"/>
      <c r="P50" s="243"/>
      <c r="Q50" s="243"/>
      <c r="R50" s="243"/>
      <c r="S50" s="243"/>
      <c r="T50" s="243"/>
      <c r="U50" s="243"/>
    </row>
    <row r="51" spans="1:21" ht="15.75" customHeight="1" x14ac:dyDescent="0.25">
      <c r="A51" s="9"/>
      <c r="B51" s="623"/>
      <c r="C51" s="623"/>
      <c r="D51" s="623"/>
      <c r="E51" s="623"/>
      <c r="F51" s="623"/>
      <c r="G51" s="623"/>
      <c r="H51" s="623"/>
      <c r="I51" s="623"/>
      <c r="J51" s="623"/>
      <c r="K51" s="623"/>
      <c r="L51" s="623"/>
      <c r="M51" s="623"/>
      <c r="N51" s="243"/>
      <c r="O51" s="243"/>
      <c r="P51" s="243"/>
      <c r="Q51" s="243"/>
      <c r="R51" s="243"/>
      <c r="S51" s="243"/>
      <c r="T51" s="243"/>
      <c r="U51" s="243"/>
    </row>
    <row r="52" spans="1:21" ht="15.75" customHeight="1" x14ac:dyDescent="0.25">
      <c r="A52" s="9"/>
      <c r="B52" s="623"/>
      <c r="C52" s="623"/>
      <c r="D52" s="623"/>
      <c r="E52" s="623"/>
      <c r="F52" s="623"/>
      <c r="G52" s="623"/>
      <c r="H52" s="623"/>
      <c r="I52" s="623"/>
      <c r="J52" s="623"/>
      <c r="K52" s="623"/>
      <c r="L52" s="623"/>
      <c r="M52" s="623"/>
      <c r="N52" s="243"/>
      <c r="O52" s="243"/>
      <c r="P52" s="243"/>
      <c r="Q52" s="243"/>
      <c r="R52" s="243"/>
      <c r="S52" s="243"/>
      <c r="T52" s="243"/>
      <c r="U52" s="243"/>
    </row>
    <row r="53" spans="1:21" ht="15.75" customHeight="1" x14ac:dyDescent="0.25">
      <c r="A53" s="9"/>
      <c r="B53" s="623"/>
      <c r="C53" s="623"/>
      <c r="D53" s="623"/>
      <c r="E53" s="623"/>
      <c r="F53" s="623"/>
      <c r="G53" s="623"/>
      <c r="H53" s="623"/>
      <c r="I53" s="623"/>
      <c r="J53" s="623"/>
      <c r="K53" s="623"/>
      <c r="L53" s="623"/>
      <c r="M53" s="623"/>
      <c r="N53" s="243"/>
      <c r="O53" s="243"/>
      <c r="P53" s="243"/>
      <c r="Q53" s="243"/>
      <c r="R53" s="243"/>
      <c r="S53" s="243"/>
      <c r="T53" s="243"/>
      <c r="U53" s="243"/>
    </row>
    <row r="54" spans="1:21" ht="15.75" customHeight="1" x14ac:dyDescent="0.25">
      <c r="A54" s="9"/>
      <c r="B54" s="623"/>
      <c r="C54" s="623"/>
      <c r="D54" s="623"/>
      <c r="E54" s="623"/>
      <c r="F54" s="623"/>
      <c r="G54" s="623"/>
      <c r="H54" s="623"/>
      <c r="I54" s="623"/>
      <c r="J54" s="623"/>
      <c r="K54" s="623"/>
      <c r="L54" s="623"/>
      <c r="M54" s="623"/>
      <c r="N54" s="243"/>
      <c r="O54" s="243"/>
      <c r="P54" s="243"/>
      <c r="Q54" s="243"/>
      <c r="R54" s="243"/>
      <c r="S54" s="243"/>
      <c r="T54" s="243"/>
      <c r="U54" s="243"/>
    </row>
    <row r="55" spans="1:21" ht="15.75" customHeight="1" x14ac:dyDescent="0.25">
      <c r="A55" s="9"/>
      <c r="B55" s="623"/>
      <c r="C55" s="623"/>
      <c r="D55" s="623"/>
      <c r="E55" s="623"/>
      <c r="F55" s="623"/>
      <c r="G55" s="623"/>
      <c r="H55" s="623"/>
      <c r="I55" s="623"/>
      <c r="J55" s="623"/>
      <c r="K55" s="623"/>
      <c r="L55" s="623"/>
      <c r="M55" s="623"/>
      <c r="N55" s="243"/>
      <c r="O55" s="243"/>
      <c r="P55" s="243"/>
      <c r="Q55" s="243"/>
      <c r="R55" s="243"/>
      <c r="S55" s="243"/>
      <c r="T55" s="243"/>
      <c r="U55" s="243"/>
    </row>
    <row r="56" spans="1:21" ht="15.75" customHeight="1" x14ac:dyDescent="0.25">
      <c r="A56" s="9"/>
      <c r="B56" s="623"/>
      <c r="C56" s="623"/>
      <c r="D56" s="623"/>
      <c r="E56" s="623"/>
      <c r="F56" s="623"/>
      <c r="G56" s="623"/>
      <c r="H56" s="623"/>
      <c r="I56" s="623"/>
      <c r="J56" s="623"/>
      <c r="K56" s="623"/>
      <c r="L56" s="623"/>
      <c r="M56" s="623"/>
      <c r="N56" s="243"/>
      <c r="O56" s="243"/>
      <c r="P56" s="243"/>
      <c r="Q56" s="243"/>
      <c r="R56" s="243"/>
      <c r="S56" s="243"/>
      <c r="T56" s="243"/>
      <c r="U56" s="243"/>
    </row>
    <row r="57" spans="1:21" ht="15.75" customHeight="1" x14ac:dyDescent="0.25">
      <c r="A57" s="9"/>
      <c r="B57" s="623"/>
      <c r="C57" s="623"/>
      <c r="D57" s="623"/>
      <c r="E57" s="623"/>
      <c r="F57" s="623"/>
      <c r="G57" s="623"/>
      <c r="H57" s="623"/>
      <c r="I57" s="623"/>
      <c r="J57" s="623"/>
      <c r="K57" s="623"/>
      <c r="L57" s="623"/>
      <c r="M57" s="623"/>
      <c r="N57" s="243"/>
      <c r="O57" s="243"/>
      <c r="P57" s="243"/>
      <c r="Q57" s="243"/>
      <c r="R57" s="243"/>
      <c r="S57" s="243"/>
      <c r="T57" s="243"/>
      <c r="U57" s="243"/>
    </row>
    <row r="58" spans="1:21" ht="15.75" customHeight="1" x14ac:dyDescent="0.25">
      <c r="A58" s="9"/>
      <c r="B58" s="623"/>
      <c r="C58" s="623"/>
      <c r="D58" s="623"/>
      <c r="E58" s="623"/>
      <c r="F58" s="623"/>
      <c r="G58" s="623"/>
      <c r="H58" s="623"/>
      <c r="I58" s="623"/>
      <c r="J58" s="623"/>
      <c r="K58" s="623"/>
      <c r="L58" s="623"/>
      <c r="M58" s="623"/>
      <c r="N58" s="243"/>
      <c r="O58" s="243"/>
      <c r="P58" s="243"/>
      <c r="Q58" s="243"/>
      <c r="R58" s="243"/>
      <c r="S58" s="243"/>
      <c r="T58" s="243"/>
      <c r="U58" s="243"/>
    </row>
    <row r="59" spans="1:21" ht="15.75" customHeight="1" x14ac:dyDescent="0.25">
      <c r="A59" s="9"/>
      <c r="B59" s="623"/>
      <c r="C59" s="623"/>
      <c r="D59" s="623"/>
      <c r="E59" s="623"/>
      <c r="F59" s="623"/>
      <c r="G59" s="623"/>
      <c r="H59" s="623"/>
      <c r="I59" s="623"/>
      <c r="J59" s="623"/>
      <c r="K59" s="623"/>
      <c r="L59" s="623"/>
      <c r="M59" s="623"/>
      <c r="N59" s="243"/>
      <c r="O59" s="243"/>
      <c r="P59" s="243"/>
      <c r="Q59" s="243"/>
      <c r="R59" s="243"/>
      <c r="S59" s="243"/>
      <c r="T59" s="243"/>
      <c r="U59" s="243"/>
    </row>
    <row r="60" spans="1:21" ht="15.75" customHeight="1" x14ac:dyDescent="0.25">
      <c r="A60" s="9"/>
      <c r="B60" s="623"/>
      <c r="C60" s="623"/>
      <c r="D60" s="623"/>
      <c r="E60" s="623"/>
      <c r="F60" s="623"/>
      <c r="G60" s="623"/>
      <c r="H60" s="623"/>
      <c r="I60" s="623"/>
      <c r="J60" s="623"/>
      <c r="K60" s="623"/>
      <c r="L60" s="623"/>
      <c r="M60" s="623"/>
      <c r="N60" s="243"/>
      <c r="O60" s="243"/>
      <c r="P60" s="243"/>
      <c r="Q60" s="243"/>
      <c r="R60" s="243"/>
      <c r="S60" s="243"/>
      <c r="T60" s="243"/>
      <c r="U60" s="243"/>
    </row>
    <row r="61" spans="1:21" ht="15.75" customHeight="1" x14ac:dyDescent="0.25">
      <c r="A61" s="9"/>
      <c r="B61" s="623"/>
      <c r="C61" s="623"/>
      <c r="D61" s="623"/>
      <c r="E61" s="623"/>
      <c r="F61" s="623"/>
      <c r="G61" s="623"/>
      <c r="H61" s="623"/>
      <c r="I61" s="623"/>
      <c r="J61" s="623"/>
      <c r="K61" s="623"/>
      <c r="L61" s="623"/>
      <c r="M61" s="623"/>
      <c r="N61" s="243"/>
      <c r="O61" s="243"/>
      <c r="P61" s="243"/>
      <c r="Q61" s="243"/>
      <c r="R61" s="243"/>
      <c r="S61" s="243"/>
      <c r="T61" s="243"/>
      <c r="U61" s="243"/>
    </row>
    <row r="62" spans="1:21" ht="15.75" customHeight="1" x14ac:dyDescent="0.25">
      <c r="A62" s="9"/>
      <c r="B62" s="623"/>
      <c r="C62" s="623"/>
      <c r="D62" s="623"/>
      <c r="E62" s="623"/>
      <c r="F62" s="623"/>
      <c r="G62" s="623"/>
      <c r="H62" s="623"/>
      <c r="I62" s="623"/>
      <c r="J62" s="623"/>
      <c r="K62" s="623"/>
      <c r="L62" s="623"/>
      <c r="M62" s="623"/>
      <c r="N62" s="243"/>
      <c r="O62" s="243"/>
      <c r="P62" s="243"/>
      <c r="Q62" s="243"/>
      <c r="R62" s="243"/>
      <c r="S62" s="243"/>
      <c r="T62" s="243"/>
      <c r="U62" s="243"/>
    </row>
    <row r="63" spans="1:21" ht="15.75" customHeight="1" x14ac:dyDescent="0.25">
      <c r="A63" s="9"/>
      <c r="B63" s="623"/>
      <c r="C63" s="623"/>
      <c r="D63" s="623"/>
      <c r="E63" s="623"/>
      <c r="F63" s="623"/>
      <c r="G63" s="623"/>
      <c r="H63" s="623"/>
      <c r="I63" s="623"/>
      <c r="J63" s="623"/>
      <c r="K63" s="623"/>
      <c r="L63" s="623"/>
      <c r="M63" s="623"/>
      <c r="N63" s="243"/>
      <c r="O63" s="243"/>
      <c r="P63" s="243"/>
      <c r="Q63" s="243"/>
      <c r="R63" s="243"/>
      <c r="S63" s="243"/>
      <c r="T63" s="243"/>
      <c r="U63" s="243"/>
    </row>
    <row r="64" spans="1:21" ht="15.75" customHeight="1" x14ac:dyDescent="0.25">
      <c r="A64" s="9"/>
      <c r="B64" s="623"/>
      <c r="C64" s="623"/>
      <c r="D64" s="623"/>
      <c r="E64" s="623"/>
      <c r="F64" s="623"/>
      <c r="G64" s="623"/>
      <c r="H64" s="623"/>
      <c r="I64" s="623"/>
      <c r="J64" s="623"/>
      <c r="K64" s="623"/>
      <c r="L64" s="623"/>
      <c r="M64" s="623"/>
      <c r="N64" s="243"/>
      <c r="O64" s="243"/>
      <c r="P64" s="243"/>
      <c r="Q64" s="243"/>
      <c r="R64" s="243"/>
      <c r="S64" s="243"/>
      <c r="T64" s="243"/>
      <c r="U64" s="243"/>
    </row>
    <row r="65" spans="1:21" ht="15.75" customHeight="1" x14ac:dyDescent="0.25">
      <c r="A65" s="9"/>
      <c r="B65" s="623"/>
      <c r="C65" s="623"/>
      <c r="D65" s="623"/>
      <c r="E65" s="623"/>
      <c r="F65" s="623"/>
      <c r="G65" s="623"/>
      <c r="H65" s="623"/>
      <c r="I65" s="623"/>
      <c r="J65" s="623"/>
      <c r="K65" s="623"/>
      <c r="L65" s="623"/>
      <c r="M65" s="623"/>
      <c r="N65" s="243"/>
      <c r="O65" s="243"/>
      <c r="P65" s="243"/>
      <c r="Q65" s="243"/>
      <c r="R65" s="243"/>
      <c r="S65" s="243"/>
      <c r="T65" s="243"/>
      <c r="U65" s="243"/>
    </row>
    <row r="66" spans="1:21" ht="15.75" customHeight="1" x14ac:dyDescent="0.25">
      <c r="A66" s="9"/>
      <c r="B66" s="623"/>
      <c r="C66" s="623"/>
      <c r="D66" s="623"/>
      <c r="E66" s="623"/>
      <c r="F66" s="623"/>
      <c r="G66" s="623"/>
      <c r="H66" s="623"/>
      <c r="I66" s="623"/>
      <c r="J66" s="623"/>
      <c r="K66" s="623"/>
      <c r="L66" s="623"/>
      <c r="M66" s="623"/>
      <c r="N66" s="243"/>
      <c r="O66" s="243"/>
      <c r="P66" s="243"/>
      <c r="Q66" s="243"/>
      <c r="R66" s="243"/>
      <c r="S66" s="243"/>
      <c r="T66" s="243"/>
      <c r="U66" s="243"/>
    </row>
    <row r="67" spans="1:21" ht="15.75" customHeight="1" x14ac:dyDescent="0.25">
      <c r="A67" s="9"/>
      <c r="B67" s="623"/>
      <c r="C67" s="623"/>
      <c r="D67" s="623"/>
      <c r="E67" s="623"/>
      <c r="F67" s="623"/>
      <c r="G67" s="623"/>
      <c r="H67" s="623"/>
      <c r="I67" s="623"/>
      <c r="J67" s="623"/>
      <c r="K67" s="623"/>
      <c r="L67" s="623"/>
      <c r="M67" s="623"/>
      <c r="N67" s="243"/>
      <c r="O67" s="243"/>
      <c r="P67" s="243"/>
      <c r="Q67" s="243"/>
      <c r="R67" s="243"/>
      <c r="S67" s="243"/>
      <c r="T67" s="243"/>
      <c r="U67" s="243"/>
    </row>
    <row r="68" spans="1:21" ht="15.75" customHeight="1" x14ac:dyDescent="0.25">
      <c r="A68" s="9"/>
      <c r="B68" s="623"/>
      <c r="C68" s="623"/>
      <c r="D68" s="623"/>
      <c r="E68" s="623"/>
      <c r="F68" s="623"/>
      <c r="G68" s="623"/>
      <c r="H68" s="623"/>
      <c r="I68" s="623"/>
      <c r="J68" s="623"/>
      <c r="K68" s="623"/>
      <c r="L68" s="623"/>
      <c r="M68" s="623"/>
      <c r="N68" s="243"/>
      <c r="O68" s="243"/>
      <c r="P68" s="243"/>
      <c r="Q68" s="243"/>
      <c r="R68" s="243"/>
      <c r="S68" s="243"/>
      <c r="T68" s="243"/>
      <c r="U68" s="243"/>
    </row>
    <row r="69" spans="1:21" ht="15.75" customHeight="1" x14ac:dyDescent="0.25">
      <c r="A69" s="9"/>
      <c r="B69" s="623"/>
      <c r="C69" s="623"/>
      <c r="D69" s="623"/>
      <c r="E69" s="623"/>
      <c r="F69" s="623"/>
      <c r="G69" s="623"/>
      <c r="H69" s="623"/>
      <c r="I69" s="623"/>
      <c r="J69" s="623"/>
      <c r="K69" s="623"/>
      <c r="L69" s="623"/>
      <c r="M69" s="623"/>
      <c r="N69" s="243"/>
      <c r="O69" s="243"/>
      <c r="P69" s="243"/>
      <c r="Q69" s="243"/>
      <c r="R69" s="243"/>
      <c r="S69" s="243"/>
      <c r="T69" s="243"/>
      <c r="U69" s="243"/>
    </row>
  </sheetData>
  <mergeCells count="3">
    <mergeCell ref="B43:E43"/>
    <mergeCell ref="B44:M69"/>
    <mergeCell ref="P6:U15"/>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26.875" customWidth="1"/>
    <col min="2" max="6" width="10.75" customWidth="1"/>
    <col min="7" max="7" width="9.875" customWidth="1"/>
    <col min="8" max="20" width="10.75" customWidth="1"/>
  </cols>
  <sheetData>
    <row r="1" spans="1:20" ht="18.75" customHeight="1" x14ac:dyDescent="0.25">
      <c r="A1" s="7"/>
      <c r="B1" s="68" t="s">
        <v>84</v>
      </c>
      <c r="C1" s="75"/>
      <c r="D1" s="75"/>
      <c r="E1" s="75"/>
      <c r="F1" s="75"/>
      <c r="G1" s="75"/>
      <c r="H1" s="75"/>
      <c r="I1" s="75"/>
      <c r="J1" s="75"/>
      <c r="K1" s="75"/>
      <c r="L1" s="75"/>
      <c r="M1" s="75"/>
      <c r="N1" s="75"/>
      <c r="O1" s="75"/>
      <c r="P1" s="75"/>
      <c r="Q1" s="75"/>
      <c r="R1" s="75"/>
      <c r="S1" s="75"/>
      <c r="T1" s="75"/>
    </row>
    <row r="2" spans="1:20" ht="15.75" customHeight="1" x14ac:dyDescent="0.25">
      <c r="A2" s="10"/>
      <c r="B2" s="12">
        <v>1984</v>
      </c>
      <c r="C2" s="12">
        <v>1988</v>
      </c>
      <c r="D2" s="12">
        <v>1992</v>
      </c>
      <c r="E2" s="12">
        <v>1996</v>
      </c>
      <c r="F2" s="12">
        <v>2000</v>
      </c>
      <c r="G2" s="12">
        <v>2004</v>
      </c>
      <c r="H2" s="12">
        <v>2008</v>
      </c>
      <c r="I2" s="12">
        <v>2010</v>
      </c>
      <c r="J2" s="12">
        <v>2011</v>
      </c>
      <c r="K2" s="12">
        <v>2012</v>
      </c>
      <c r="L2" s="12">
        <v>2013</v>
      </c>
      <c r="M2" s="12">
        <v>2014</v>
      </c>
      <c r="N2" s="12"/>
      <c r="O2" s="12"/>
      <c r="P2" s="12"/>
      <c r="Q2" s="12"/>
      <c r="R2" s="12"/>
      <c r="S2" s="12"/>
      <c r="T2" s="12"/>
    </row>
    <row r="3" spans="1:20" ht="15.75" customHeight="1" x14ac:dyDescent="0.2">
      <c r="A3" s="5" t="s">
        <v>17</v>
      </c>
      <c r="B3" s="81"/>
      <c r="C3" s="81"/>
      <c r="D3" s="81"/>
      <c r="E3" s="110">
        <f>('Magazines (RV)'!E3)/('Magazines (RV)'!E39)*100</f>
        <v>20.609177215189874</v>
      </c>
      <c r="F3" s="110">
        <f>('Magazines (RV)'!F3)/('Magazines (RV)'!F39)*100</f>
        <v>23.284615384615385</v>
      </c>
      <c r="G3" s="110">
        <f>('Magazines (RV)'!G3)/('Magazines (RV)'!G39)*100</f>
        <v>15.083103242921339</v>
      </c>
      <c r="H3" s="110">
        <f>('Magazines (RV)'!H3)/('Magazines (RV)'!H39)*100</f>
        <v>12.495823588372868</v>
      </c>
      <c r="I3" s="110">
        <f>('Magazines (RV)'!I3)/('Magazines (RV)'!I39)*100</f>
        <v>13.36097446708831</v>
      </c>
      <c r="J3" s="110">
        <f>('Magazines (RV)'!J3)/('Magazines (RV)'!J39)*100</f>
        <v>13.116379310344827</v>
      </c>
      <c r="K3" s="110">
        <f>('Magazines (RV)'!K3)/('Magazines (RV)'!K39)*100</f>
        <v>11.106758080313419</v>
      </c>
      <c r="L3" s="110">
        <f>('Magazines (RV)'!L3)/('Magazines (RV)'!L39)*100</f>
        <v>11.951903807615231</v>
      </c>
      <c r="M3" s="110">
        <f>('Magazines (RV)'!M3)/('Magazines (RV)'!M39)*100</f>
        <v>10.297072330654421</v>
      </c>
      <c r="N3" s="81"/>
      <c r="O3" s="81"/>
      <c r="P3" s="81"/>
      <c r="Q3" s="81"/>
      <c r="R3" s="81"/>
      <c r="S3" s="81"/>
      <c r="T3" s="81"/>
    </row>
    <row r="4" spans="1:20" ht="15.75" customHeight="1" x14ac:dyDescent="0.2">
      <c r="A4" s="5" t="s">
        <v>175</v>
      </c>
      <c r="B4" s="110">
        <f>('Magazines (RV)'!B4)/('Magazines (RV)'!B39)*100</f>
        <v>16.329442282749675</v>
      </c>
      <c r="C4" s="110">
        <f>('Magazines (RV)'!C4)/('Magazines (RV)'!C39)*100</f>
        <v>43.561290322580646</v>
      </c>
      <c r="D4" s="110">
        <f>('Magazines (RV)'!D4)/('Magazines (RV)'!D39)*100</f>
        <v>36.744139249421472</v>
      </c>
      <c r="E4" s="81" t="s">
        <v>181</v>
      </c>
      <c r="F4" s="81"/>
      <c r="G4" s="81"/>
      <c r="H4" s="81"/>
      <c r="I4" s="81"/>
      <c r="J4" s="81"/>
      <c r="K4" s="81"/>
      <c r="L4" s="81"/>
      <c r="M4" s="81"/>
      <c r="N4" s="81"/>
      <c r="O4" s="81"/>
      <c r="P4" s="81"/>
      <c r="Q4" s="81"/>
      <c r="R4" s="81"/>
      <c r="S4" s="81"/>
      <c r="T4" s="81"/>
    </row>
    <row r="5" spans="1:20" ht="15.75" customHeight="1" x14ac:dyDescent="0.2">
      <c r="A5" s="5" t="s">
        <v>184</v>
      </c>
      <c r="B5" s="110">
        <f>('Magazines (RV)'!B5)/('Magazines (RV)'!B39)*100</f>
        <v>1.5304798962386512</v>
      </c>
      <c r="C5" s="110">
        <f>('Magazines (RV)'!C5)/('Magazines (RV)'!C39)*100</f>
        <v>2.5290322580645164</v>
      </c>
      <c r="D5" s="110">
        <f>('Magazines (RV)'!D5)/('Magazines (RV)'!D39)*100</f>
        <v>2.6594395814468257</v>
      </c>
      <c r="E5" s="110">
        <f>('Magazines (RV)'!E5)/('Magazines (RV)'!E39)*100</f>
        <v>4.1356200553797464</v>
      </c>
      <c r="F5" s="110">
        <f>('Magazines (RV)'!F5)/('Magazines (RV)'!F39)*100</f>
        <v>8.8538461538461544</v>
      </c>
      <c r="G5" s="110">
        <f>('Magazines (RV)'!G5)/('Magazines (RV)'!G39)*100</f>
        <v>7.0272318769963729</v>
      </c>
      <c r="H5" s="110">
        <f>('Magazines (RV)'!H5)/('Magazines (RV)'!H39)*100</f>
        <v>6.214500501169395</v>
      </c>
      <c r="I5" s="110">
        <f>('Magazines (RV)'!I5)/('Magazines (RV)'!I39)*100</f>
        <v>7.125790583274771</v>
      </c>
      <c r="J5" s="110">
        <f>('Magazines (RV)'!J5)/('Magazines (RV)'!J39)*100</f>
        <v>7.3323754789272026</v>
      </c>
      <c r="K5" s="110">
        <f>('Magazines (RV)'!K5)/('Magazines (RV)'!K39)*100</f>
        <v>7.174338883447601</v>
      </c>
      <c r="L5" s="110">
        <f>('Magazines (RV)'!L5)/('Magazines (RV)'!L39)*100</f>
        <v>7.3355559433473685</v>
      </c>
      <c r="M5" s="110">
        <f>('Magazines (RV)'!M5)/('Magazines (RV)'!M39)*100</f>
        <v>7.088527144497295</v>
      </c>
      <c r="N5" s="81"/>
      <c r="O5" s="81"/>
      <c r="P5" s="81"/>
      <c r="Q5" s="81"/>
      <c r="R5" s="81"/>
      <c r="S5" s="81"/>
      <c r="T5" s="81"/>
    </row>
    <row r="6" spans="1:20" ht="15.75" customHeight="1" x14ac:dyDescent="0.2">
      <c r="A6" s="5" t="s">
        <v>198</v>
      </c>
      <c r="B6" s="110">
        <f>('Magazines (RV)'!B6)/('Magazines (RV)'!B39)*100</f>
        <v>13.229571984435799</v>
      </c>
      <c r="C6" s="110">
        <f>('Magazines (RV)'!C6)/('Magazines (RV)'!C39)*100</f>
        <v>16.309677419354841</v>
      </c>
      <c r="D6" s="110">
        <f>('Magazines (RV)'!D6)/('Magazines (RV)'!D39)*100</f>
        <v>17.768387161686285</v>
      </c>
      <c r="E6" s="110">
        <f>('Magazines (RV)'!E6)/('Magazines (RV)'!E39)*100</f>
        <v>13.894382911392405</v>
      </c>
      <c r="F6" s="81" t="s">
        <v>199</v>
      </c>
      <c r="G6" s="81"/>
      <c r="H6" s="81"/>
      <c r="I6" s="81"/>
      <c r="J6" s="81"/>
      <c r="K6" s="81"/>
      <c r="L6" s="81"/>
      <c r="M6" s="81"/>
      <c r="N6" s="81"/>
      <c r="O6" s="626" t="s">
        <v>8</v>
      </c>
      <c r="P6" s="623"/>
      <c r="Q6" s="623"/>
      <c r="R6" s="623"/>
      <c r="S6" s="623"/>
      <c r="T6" s="81"/>
    </row>
    <row r="7" spans="1:20" ht="15.75" customHeight="1" x14ac:dyDescent="0.2">
      <c r="A7" s="5" t="s">
        <v>201</v>
      </c>
      <c r="B7" s="110">
        <f>('Magazines (RV)'!B7)/('Magazines (RV)'!B39)*100</f>
        <v>1.7380025940337225</v>
      </c>
      <c r="C7" s="110">
        <f>('Magazines (RV)'!C7)/('Magazines (RV)'!C39)*100</f>
        <v>2.1677419354838712</v>
      </c>
      <c r="D7" s="110">
        <f>('Magazines (RV)'!D7)/('Magazines (RV)'!D39)*100</f>
        <v>2.1128886205855721</v>
      </c>
      <c r="E7" s="110">
        <f>('Magazines (RV)'!E7)/('Magazines (RV)'!E39)*100</f>
        <v>5.5874208860759493</v>
      </c>
      <c r="F7" s="110">
        <f>('Magazines (RV)'!F7)/('Magazines (RV)'!F39)*100</f>
        <v>5.5538461538461545</v>
      </c>
      <c r="G7" s="110">
        <f>('Magazines (RV)'!G7)/('Magazines (RV)'!G39)*100</f>
        <v>6.5399815927670399</v>
      </c>
      <c r="H7" s="110">
        <f>('Magazines (RV)'!H7)/('Magazines (RV)'!H39)*100</f>
        <v>4.7318743735382558</v>
      </c>
      <c r="I7" s="110">
        <f>('Magazines (RV)'!I7)/('Magazines (RV)'!I39)*100</f>
        <v>4.3054579526821266</v>
      </c>
      <c r="J7" s="110">
        <f>('Magazines (RV)'!J7)/('Magazines (RV)'!J39)*100</f>
        <v>4.4013409961685825</v>
      </c>
      <c r="K7" s="110">
        <f>('Magazines (RV)'!K7)/('Magazines (RV)'!K39)*100</f>
        <v>4.2066601371204699</v>
      </c>
      <c r="L7" s="110">
        <f>('Magazines (RV)'!L7)/('Magazines (RV)'!L39)*100</f>
        <v>4.3283405892244264</v>
      </c>
      <c r="M7" s="110">
        <f>('Magazines (RV)'!M7)/('Magazines (RV)'!M39)*100</f>
        <v>4.3002706248974913</v>
      </c>
      <c r="N7" s="81"/>
      <c r="O7" s="623"/>
      <c r="P7" s="623"/>
      <c r="Q7" s="623"/>
      <c r="R7" s="623"/>
      <c r="S7" s="623"/>
      <c r="T7" s="81"/>
    </row>
    <row r="8" spans="1:20" ht="15.75" customHeight="1" x14ac:dyDescent="0.2">
      <c r="A8" s="5" t="s">
        <v>90</v>
      </c>
      <c r="B8" s="110">
        <f>('Magazines (RV)'!B8)/('Magazines (RV)'!B39)*100</f>
        <v>4.6692607003891053</v>
      </c>
      <c r="C8" s="110">
        <f>('Magazines (RV)'!C8)/('Magazines (RV)'!C39)*100</f>
        <v>6.838709677419355</v>
      </c>
      <c r="D8" s="110">
        <f>('Magazines (RV)'!D8)/('Magazines (RV)'!D39)*100</f>
        <v>4.5678639702183315</v>
      </c>
      <c r="E8" s="110">
        <f>('Magazines (RV)'!E8)/('Magazines (RV)'!E39)*100</f>
        <v>4.5094936708860756</v>
      </c>
      <c r="F8" s="110">
        <f>('Magazines (RV)'!F8)/('Magazines (RV)'!F39)*100</f>
        <v>2.2615384615384615</v>
      </c>
      <c r="G8" s="110">
        <f>('Magazines (RV)'!G8)/('Magazines (RV)'!G39)*100</f>
        <v>4.1199718477613558</v>
      </c>
      <c r="H8" s="110">
        <f>('Magazines (RV)'!H8)/('Magazines (RV)'!H39)*100</f>
        <v>3.2826595389241562</v>
      </c>
      <c r="I8" s="110">
        <f>('Magazines (RV)'!I8)/('Magazines (RV)'!I39)*100</f>
        <v>3.5137034434293746</v>
      </c>
      <c r="J8" s="110">
        <f>('Magazines (RV)'!J8)/('Magazines (RV)'!J39)*100</f>
        <v>3.3812260536398462</v>
      </c>
      <c r="K8" s="110">
        <f>('Magazines (RV)'!K8)/('Magazines (RV)'!K39)*100</f>
        <v>3.300685602350637</v>
      </c>
      <c r="L8" s="110">
        <f>('Magazines (RV)'!L8)/('Magazines (RV)'!L39)*100</f>
        <v>3.4018036072144291</v>
      </c>
      <c r="M8" s="110">
        <f>('Magazines (RV)'!M8)/('Magazines (RV)'!M39)*100</f>
        <v>3.5160734787600454</v>
      </c>
      <c r="N8" s="81"/>
      <c r="O8" s="623"/>
      <c r="P8" s="623"/>
      <c r="Q8" s="623"/>
      <c r="R8" s="623"/>
      <c r="S8" s="623"/>
      <c r="T8" s="81"/>
    </row>
    <row r="9" spans="1:20" ht="15.75" customHeight="1" x14ac:dyDescent="0.2">
      <c r="A9" s="5" t="s">
        <v>203</v>
      </c>
      <c r="B9" s="110">
        <f>('Magazines (RV)'!B9)/('Magazines (RV)'!B39)*100</f>
        <v>6.3164721141374836</v>
      </c>
      <c r="C9" s="110">
        <f>('Magazines (RV)'!C9)/('Magazines (RV)'!C39)*100</f>
        <v>7.8580645161290317</v>
      </c>
      <c r="D9" s="110">
        <f>('Magazines (RV)'!D9)/('Magazines (RV)'!D39)*100</f>
        <v>7.6567059060267635</v>
      </c>
      <c r="E9" s="110">
        <f>('Magazines (RV)'!E9)/('Magazines (RV)'!E39)*100</f>
        <v>7.1894778481012649</v>
      </c>
      <c r="F9" s="110">
        <f>('Magazines (RV)'!F9)/('Magazines (RV)'!F39)*100</f>
        <v>5.4307692307692301</v>
      </c>
      <c r="G9" s="110">
        <f>('Magazines (RV)'!G9)/('Magazines (RV)'!G39)*100</f>
        <v>3.7031021601429273</v>
      </c>
      <c r="H9" s="110">
        <f>('Magazines (RV)'!H9)/('Magazines (RV)'!H39)*100</f>
        <v>2.8065486134313398</v>
      </c>
      <c r="I9" s="110">
        <f>('Magazines (RV)'!I9)/('Magazines (RV)'!I39)*100</f>
        <v>2.4314827828531271</v>
      </c>
      <c r="J9" s="110">
        <f>('Magazines (RV)'!J9)/('Magazines (RV)'!J39)*100</f>
        <v>2.3994252873563218</v>
      </c>
      <c r="K9" s="110">
        <f>('Magazines (RV)'!K9)/('Magazines (RV)'!K39)*100</f>
        <v>2.3849167482859945</v>
      </c>
      <c r="L9" s="110">
        <f>('Magazines (RV)'!L9)/('Magazines (RV)'!L39)*100</f>
        <v>2.4539020569875385</v>
      </c>
      <c r="M9" s="110">
        <f>('Magazines (RV)'!M9)/('Magazines (RV)'!M39)*100</f>
        <v>2.4999487452845659</v>
      </c>
      <c r="N9" s="81"/>
      <c r="O9" s="623"/>
      <c r="P9" s="623"/>
      <c r="Q9" s="623"/>
      <c r="R9" s="623"/>
      <c r="S9" s="623"/>
      <c r="T9" s="81"/>
    </row>
    <row r="10" spans="1:20" ht="15.75" customHeight="1" x14ac:dyDescent="0.2">
      <c r="A10" s="5" t="s">
        <v>302</v>
      </c>
      <c r="B10" s="110">
        <f>('Magazines (RV)'!B10)/('Magazines (RV)'!B39)*100</f>
        <v>1.7769130998702982</v>
      </c>
      <c r="C10" s="110">
        <f>('Magazines (RV)'!C10)/('Magazines (RV)'!C39)*100</f>
        <v>2.0516129032258066</v>
      </c>
      <c r="D10" s="110">
        <f>('Magazines (RV)'!D10)/('Magazines (RV)'!D39)*100</f>
        <v>1.891538384143274</v>
      </c>
      <c r="E10" s="110">
        <f>('Magazines (RV)'!E10)/('Magazines (RV)'!E39)*100</f>
        <v>2.1360759493670884</v>
      </c>
      <c r="F10" s="110">
        <f>('Magazines (RV)'!F10)/('Magazines (RV)'!F39)*100</f>
        <v>2.3538461538461539</v>
      </c>
      <c r="G10" s="110">
        <f>('Magazines (RV)'!G10)/('Magazines (RV)'!G39)*100</f>
        <v>2.1439012506090633</v>
      </c>
      <c r="H10" s="110">
        <f>('Magazines (RV)'!H10)/('Magazines (RV)'!H39)*100</f>
        <v>2.3847310390912129</v>
      </c>
      <c r="I10" s="110">
        <f>('Magazines (RV)'!I10)/('Magazines (RV)'!I39)*100</f>
        <v>2.1222768798313423</v>
      </c>
      <c r="J10" s="110">
        <f>('Magazines (RV)'!J10)/('Magazines (RV)'!J39)*100</f>
        <v>2.0498084291187735</v>
      </c>
      <c r="K10" s="110">
        <f>('Magazines (RV)'!K10)/('Magazines (RV)'!K39)*100</f>
        <v>2.2380019588638591</v>
      </c>
      <c r="L10" s="110">
        <f>('Magazines (RV)'!L10)/('Magazines (RV)'!L39)*100</f>
        <v>2.3027376592264992</v>
      </c>
      <c r="M10" s="110">
        <f>('Magazines (RV)'!M10)/('Magazines (RV)'!M39)*100</f>
        <v>2.2999528456618008</v>
      </c>
      <c r="N10" s="81"/>
      <c r="O10" s="623"/>
      <c r="P10" s="623"/>
      <c r="Q10" s="623"/>
      <c r="R10" s="623"/>
      <c r="S10" s="623"/>
      <c r="T10" s="81"/>
    </row>
    <row r="11" spans="1:20" ht="15.75" customHeight="1" x14ac:dyDescent="0.2">
      <c r="A11" s="5" t="s">
        <v>313</v>
      </c>
      <c r="B11" s="110">
        <f>('Magazines (RV)'!B11)/('Magazines (RV)'!B39)*100</f>
        <v>1.7120622568093384</v>
      </c>
      <c r="C11" s="110">
        <f>('Magazines (RV)'!C11)/('Magazines (RV)'!C39)*100</f>
        <v>2</v>
      </c>
      <c r="D11" s="110">
        <f>('Magazines (RV)'!D11)/('Magazines (RV)'!D39)*100</f>
        <v>1.8412315122245699</v>
      </c>
      <c r="E11" s="110">
        <f>('Magazines (RV)'!E11)/('Magazines (RV)'!E39)*100</f>
        <v>2.096518987341772</v>
      </c>
      <c r="F11" s="110">
        <f>('Magazines (RV)'!F11)/('Magazines (RV)'!F39)*100</f>
        <v>2.9923076923076919</v>
      </c>
      <c r="G11" s="110">
        <f>('Magazines (RV)'!G11)/('Magazines (RV)'!G39)*100</f>
        <v>3.0642628985978022</v>
      </c>
      <c r="H11" s="110">
        <f>('Magazines (RV)'!H11)/('Magazines (RV)'!H39)*100</f>
        <v>2.5851987971934514</v>
      </c>
      <c r="I11" s="110">
        <f>('Magazines (RV)'!I11)/('Magazines (RV)'!I39)*100</f>
        <v>2.3629072141245611</v>
      </c>
      <c r="J11" s="110">
        <f>('Magazines (RV)'!J11)/('Magazines (RV)'!J39)*100</f>
        <v>2.0789402938644446</v>
      </c>
      <c r="K11" s="110">
        <f>('Magazines (RV)'!K11)/('Magazines (RV)'!K39)*100</f>
        <v>2.1560401487343013</v>
      </c>
      <c r="L11" s="110">
        <f>('Magazines (RV)'!L11)/('Magazines (RV)'!L39)*100</f>
        <v>2.217077833828577</v>
      </c>
      <c r="M11" s="110">
        <f>('Magazines (RV)'!M11)/('Magazines (RV)'!M39)*100</f>
        <v>2.1999548958504183</v>
      </c>
      <c r="N11" s="81"/>
      <c r="O11" s="623"/>
      <c r="P11" s="623"/>
      <c r="Q11" s="623"/>
      <c r="R11" s="623"/>
      <c r="S11" s="623"/>
      <c r="T11" s="81"/>
    </row>
    <row r="12" spans="1:20" ht="15.75" customHeight="1" x14ac:dyDescent="0.2">
      <c r="A12" s="5" t="s">
        <v>315</v>
      </c>
      <c r="B12" s="110">
        <f>('Magazines (RV)'!B12)/('Magazines (RV)'!B39)*100</f>
        <v>0.75226977950713358</v>
      </c>
      <c r="C12" s="110">
        <f>('Magazines (RV)'!C12)/('Magazines (RV)'!C39)*100</f>
        <v>0.92903225806451628</v>
      </c>
      <c r="D12" s="110">
        <f>('Magazines (RV)'!D12)/('Magazines (RV)'!D39)*100</f>
        <v>0.91558506892041458</v>
      </c>
      <c r="E12" s="110">
        <f>('Magazines (RV)'!E12)/('Magazines (RV)'!E39)*100</f>
        <v>2.1162974683544302</v>
      </c>
      <c r="F12" s="110">
        <f>('Magazines (RV)'!F12)/('Magazines (RV)'!F39)*100</f>
        <v>1.7153846153846155</v>
      </c>
      <c r="G12" s="110">
        <f>('Magazines (RV)'!G12)/('Magazines (RV)'!G39)*100</f>
        <v>1.2506090628552868</v>
      </c>
      <c r="H12" s="110">
        <f>('Magazines (RV)'!H12)/('Magazines (RV)'!H39)*100</f>
        <v>1.1902773137320415</v>
      </c>
      <c r="I12" s="110">
        <f>('Magazines (RV)'!I12)/('Magazines (RV)'!I39)*100</f>
        <v>1.3961115015226049</v>
      </c>
      <c r="J12" s="110">
        <f>('Magazines (RV)'!J12)/('Magazines (RV)'!J39)*100</f>
        <v>1.5373563218390804</v>
      </c>
      <c r="K12" s="110">
        <f>('Magazines (RV)'!K12)/('Magazines (RV)'!K39)*100</f>
        <v>1.5719882468168462</v>
      </c>
      <c r="L12" s="110">
        <f>('Magazines (RV)'!L12)/('Magazines (RV)'!L39)*100</f>
        <v>1.6174590560431208</v>
      </c>
      <c r="M12" s="110">
        <f>('Magazines (RV)'!M12)/('Magazines (RV)'!M39)*100</f>
        <v>1.5999671969821223</v>
      </c>
      <c r="N12" s="81"/>
      <c r="O12" s="623"/>
      <c r="P12" s="623"/>
      <c r="Q12" s="623"/>
      <c r="R12" s="623"/>
      <c r="S12" s="623"/>
      <c r="T12" s="81"/>
    </row>
    <row r="13" spans="1:20" ht="15.75" customHeight="1" x14ac:dyDescent="0.2">
      <c r="A13" s="5" t="s">
        <v>317</v>
      </c>
      <c r="B13" s="110">
        <f>('Magazines (RV)'!B13)/('Magazines (RV)'!B39)*100</f>
        <v>3.2425421530479901</v>
      </c>
      <c r="C13" s="110">
        <f>('Magazines (RV)'!C13)/('Magazines (RV)'!C39)*100</f>
        <v>4.0258064516129028</v>
      </c>
      <c r="D13" s="110">
        <f>('Magazines (RV)'!D13)/('Magazines (RV)'!D39)*100</f>
        <v>3.9239360096589198</v>
      </c>
      <c r="E13" s="110">
        <f>('Magazines (RV)'!E13)/('Magazines (RV)'!E39)*100</f>
        <v>4.479825949367088</v>
      </c>
      <c r="F13" s="110">
        <f>('Magazines (RV)'!F13)/('Magazines (RV)'!F39)*100</f>
        <v>4.0153846153846162</v>
      </c>
      <c r="G13" s="110">
        <f>('Magazines (RV)'!G13)/('Magazines (RV)'!G39)*100</f>
        <v>2.7827405121541875</v>
      </c>
      <c r="H13" s="110">
        <f>('Magazines (RV)'!H13)/('Magazines (RV)'!H39)*100</f>
        <v>2.1132642833277648</v>
      </c>
      <c r="I13" s="110">
        <f>('Magazines (RV)'!I13)/('Magazines (RV)'!I39)*100</f>
        <v>1.7240571562426796</v>
      </c>
      <c r="J13" s="110">
        <f>('Magazines (RV)'!J13)/('Magazines (RV)'!J39)*100</f>
        <v>1.475095785440613</v>
      </c>
      <c r="K13" s="110">
        <f>('Magazines (RV)'!K13)/('Magazines (RV)'!K39)*100</f>
        <v>1.5083251714005879</v>
      </c>
      <c r="L13" s="110">
        <f>('Magazines (RV)'!L13)/('Magazines (RV)'!L39)*100</f>
        <v>1.5519544836800037</v>
      </c>
      <c r="M13" s="110">
        <f>('Magazines (RV)'!M13)/('Magazines (RV)'!M39)*100</f>
        <v>1.5999671969821223</v>
      </c>
      <c r="N13" s="81"/>
      <c r="O13" s="623"/>
      <c r="P13" s="623"/>
      <c r="Q13" s="623"/>
      <c r="R13" s="623"/>
      <c r="S13" s="623"/>
      <c r="T13" s="81"/>
    </row>
    <row r="14" spans="1:20" ht="15.75" customHeight="1" x14ac:dyDescent="0.2">
      <c r="A14" s="5" t="s">
        <v>318</v>
      </c>
      <c r="B14" s="110"/>
      <c r="C14" s="110"/>
      <c r="D14" s="110"/>
      <c r="E14" s="110">
        <f>('Magazines (RV)'!E14)/('Magazines (RV)'!E39)*100</f>
        <v>0.47468354430379739</v>
      </c>
      <c r="F14" s="110">
        <f>('Magazines (RV)'!F14)/('Magazines (RV)'!F39)*100</f>
        <v>1.176923076923077</v>
      </c>
      <c r="G14" s="110">
        <f>('Magazines (RV)'!G14)/('Magazines (RV)'!G39)*100</f>
        <v>1.1423312219154351</v>
      </c>
      <c r="H14" s="110">
        <f>('Magazines (RV)'!H14)/('Magazines (RV)'!H39)*100</f>
        <v>1.4533912462412293</v>
      </c>
      <c r="I14" s="110">
        <f>('Magazines (RV)'!I14)/('Magazines (RV)'!I39)*100</f>
        <v>1.4851253220894822</v>
      </c>
      <c r="J14" s="110">
        <f>('Magazines (RV)'!J14)/('Magazines (RV)'!J39)*100</f>
        <v>1.336206896551724</v>
      </c>
      <c r="K14" s="110">
        <f>('Magazines (RV)'!K14)/('Magazines (RV)'!K39)*100</f>
        <v>1.405484818805093</v>
      </c>
      <c r="L14" s="110">
        <f>('Magazines (RV)'!L14)/('Magazines (RV)'!L39)*100</f>
        <v>1.446139405247276</v>
      </c>
      <c r="M14" s="110">
        <f>('Magazines (RV)'!M14)/('Magazines (RV)'!M39)*100</f>
        <v>1.3999712973593572</v>
      </c>
      <c r="N14" s="81"/>
      <c r="O14" s="623"/>
      <c r="P14" s="623"/>
      <c r="Q14" s="623"/>
      <c r="R14" s="623"/>
      <c r="S14" s="623"/>
      <c r="T14" s="81"/>
    </row>
    <row r="15" spans="1:20" ht="15.75" customHeight="1" x14ac:dyDescent="0.2">
      <c r="A15" s="5" t="s">
        <v>319</v>
      </c>
      <c r="B15" s="110">
        <f>('Magazines (RV)'!B15)/('Magazines (RV)'!B39)*100</f>
        <v>1.5953307392996112</v>
      </c>
      <c r="C15" s="110">
        <f>('Magazines (RV)'!C15)/('Magazines (RV)'!C39)*100</f>
        <v>1.9870967741935486</v>
      </c>
      <c r="D15" s="110">
        <f>('Magazines (RV)'!D15)/('Magazines (RV)'!D39)*100</f>
        <v>1.9317838816782371</v>
      </c>
      <c r="E15" s="110">
        <f>('Magazines (RV)'!E15)/('Magazines (RV)'!E39)*100</f>
        <v>2.2547468354430378</v>
      </c>
      <c r="F15" s="110">
        <f>('Magazines (RV)'!F15)/('Magazines (RV)'!F39)*100</f>
        <v>2.2076923076923078</v>
      </c>
      <c r="G15" s="110">
        <f>('Magazines (RV)'!G15)/('Magazines (RV)'!G39)*100</f>
        <v>1.8623788641654486</v>
      </c>
      <c r="H15" s="110">
        <f>('Magazines (RV)'!H15)/('Magazines (RV)'!H39)*100</f>
        <v>1.6747410624791177</v>
      </c>
      <c r="I15" s="110">
        <f>('Magazines (RV)'!I15)/('Magazines (RV)'!I39)*100</f>
        <v>1.5307363374215655</v>
      </c>
      <c r="J15" s="110">
        <f>('Magazines (RV)'!J15)/('Magazines (RV)'!J39)*100</f>
        <v>1.3467771532142847</v>
      </c>
      <c r="K15" s="110">
        <f>('Magazines (RV)'!K15)/('Magazines (RV)'!K39)*100</f>
        <v>1.3967239089538852</v>
      </c>
      <c r="L15" s="110">
        <f>('Magazines (RV)'!L15)/('Magazines (RV)'!L39)*100</f>
        <v>1.4360617787298735</v>
      </c>
      <c r="M15" s="110">
        <f>('Magazines (RV)'!M15)/('Magazines (RV)'!M39)*100</f>
        <v>1.3999712973593572</v>
      </c>
      <c r="N15" s="81"/>
      <c r="O15" s="623"/>
      <c r="P15" s="623"/>
      <c r="Q15" s="623"/>
      <c r="R15" s="623"/>
      <c r="S15" s="623"/>
      <c r="T15" s="81"/>
    </row>
    <row r="16" spans="1:20" ht="15.75" customHeight="1" x14ac:dyDescent="0.2">
      <c r="A16" s="5" t="s">
        <v>322</v>
      </c>
      <c r="B16" s="110">
        <f>('Magazines (RV)'!B16)/('Magazines (RV)'!B39)*100</f>
        <v>0.98573281452658879</v>
      </c>
      <c r="C16" s="110">
        <f>('Magazines (RV)'!C16)/('Magazines (RV)'!C39)*100</f>
        <v>1.2258064516129032</v>
      </c>
      <c r="D16" s="110">
        <f>('Magazines (RV)'!D16)/('Magazines (RV)'!D39)*100</f>
        <v>1.1973035516651576</v>
      </c>
      <c r="E16" s="110">
        <f>('Magazines (RV)'!E16)/('Magazines (RV)'!E39)*100</f>
        <v>1.740506329113924</v>
      </c>
      <c r="F16" s="110">
        <f>('Magazines (RV)'!F16)/('Magazines (RV)'!F39)*100</f>
        <v>1.8846153846153846</v>
      </c>
      <c r="G16" s="110">
        <f>('Magazines (RV)'!G16)/('Magazines (RV)'!G39)*100</f>
        <v>1.6999621027556711</v>
      </c>
      <c r="H16" s="110">
        <f>('Magazines (RV)'!H16)/('Magazines (RV)'!H39)*100</f>
        <v>1.4826261276311392</v>
      </c>
      <c r="I16" s="110">
        <f>('Magazines (RV)'!I16)/('Magazines (RV)'!I39)*100</f>
        <v>1.3551406478420343</v>
      </c>
      <c r="J16" s="110">
        <f>('Magazines (RV)'!J16)/('Magazines (RV)'!J39)*100</f>
        <v>1.1922840134440675</v>
      </c>
      <c r="K16" s="110">
        <f>('Magazines (RV)'!K16)/('Magazines (RV)'!K39)*100</f>
        <v>1.2365012161561826</v>
      </c>
      <c r="L16" s="110">
        <f>('Magazines (RV)'!L16)/('Magazines (RV)'!L39)*100</f>
        <v>1.2697809411927303</v>
      </c>
      <c r="M16" s="110">
        <f>('Magazines (RV)'!M16)/('Magazines (RV)'!M39)*100</f>
        <v>1.2999733475479744</v>
      </c>
      <c r="N16" s="81"/>
      <c r="O16" s="623"/>
      <c r="P16" s="623"/>
      <c r="Q16" s="623"/>
      <c r="R16" s="623"/>
      <c r="S16" s="623"/>
      <c r="T16" s="81"/>
    </row>
    <row r="17" spans="1:20" ht="15.75" customHeight="1" x14ac:dyDescent="0.2">
      <c r="A17" s="5" t="s">
        <v>324</v>
      </c>
      <c r="B17" s="110">
        <f>('Magazines (RV)'!B17)/('Magazines (RV)'!B39)*100</f>
        <v>0.20752269779507135</v>
      </c>
      <c r="C17" s="110">
        <f>('Magazines (RV)'!C17)/('Magazines (RV)'!C39)*100</f>
        <v>0.25806451612903225</v>
      </c>
      <c r="D17" s="110">
        <f>('Magazines (RV)'!D17)/('Magazines (RV)'!D39)*100</f>
        <v>0.2515343595935205</v>
      </c>
      <c r="E17" s="110">
        <f>('Magazines (RV)'!E17)/('Magazines (RV)'!E39)*100</f>
        <v>1.1867088607594936</v>
      </c>
      <c r="F17" s="110">
        <f>('Magazines (RV)'!F17)/('Magazines (RV)'!F39)*100</f>
        <v>1.153846153846154</v>
      </c>
      <c r="G17" s="110">
        <f>('Magazines (RV)'!G17)/('Magazines (RV)'!G39)*100</f>
        <v>0.96908667641167223</v>
      </c>
      <c r="H17" s="110">
        <f>('Magazines (RV)'!H17)/('Magazines (RV)'!H39)*100</f>
        <v>0.97310390912128297</v>
      </c>
      <c r="I17" s="110">
        <f>('Magazines (RV)'!I17)/('Magazines (RV)'!I39)*100</f>
        <v>1.2789880534082925</v>
      </c>
      <c r="J17" s="110">
        <f>('Magazines (RV)'!J17)/('Magazines (RV)'!J39)*100</f>
        <v>1.1877394636015326</v>
      </c>
      <c r="K17" s="110">
        <f>('Magazines (RV)'!K17)/('Magazines (RV)'!K39)*100</f>
        <v>1.2144955925563174</v>
      </c>
      <c r="L17" s="110">
        <f>('Magazines (RV)'!L17)/('Magazines (RV)'!L39)*100</f>
        <v>1.2496256881579251</v>
      </c>
      <c r="M17" s="110">
        <f>('Magazines (RV)'!M17)/('Magazines (RV)'!M39)*100</f>
        <v>1.1999753977365917</v>
      </c>
      <c r="N17" s="81"/>
      <c r="O17" s="81"/>
      <c r="P17" s="81"/>
      <c r="Q17" s="81"/>
      <c r="R17" s="81"/>
      <c r="S17" s="81"/>
      <c r="T17" s="81"/>
    </row>
    <row r="18" spans="1:20" ht="15.75" customHeight="1" x14ac:dyDescent="0.2">
      <c r="A18" s="5" t="s">
        <v>326</v>
      </c>
      <c r="B18" s="110">
        <f>('Magazines (RV)'!B18)/('Magazines (RV)'!B39)*100</f>
        <v>0.58365758754863817</v>
      </c>
      <c r="C18" s="110">
        <f>('Magazines (RV)'!C18)/('Magazines (RV)'!C39)*100</f>
        <v>0.72258064516129028</v>
      </c>
      <c r="D18" s="110">
        <f>('Magazines (RV)'!D18)/('Magazines (RV)'!D39)*100</f>
        <v>0.70429620686185734</v>
      </c>
      <c r="E18" s="110">
        <f>('Magazines (RV)'!E18)/('Magazines (RV)'!E39)*100</f>
        <v>0.86036392405063278</v>
      </c>
      <c r="F18" s="110">
        <f>('Magazines (RV)'!F18)/('Magazines (RV)'!F39)*100</f>
        <v>1.2538461538461538</v>
      </c>
      <c r="G18" s="110">
        <f>('Magazines (RV)'!G18)/('Magazines (RV)'!G39)*100</f>
        <v>1.2885063071842349</v>
      </c>
      <c r="H18" s="110">
        <f>('Magazines (RV)'!H18)/('Magazines (RV)'!H39)*100</f>
        <v>0.96892749749415297</v>
      </c>
      <c r="I18" s="110">
        <f>('Magazines (RV)'!I18)/('Magazines (RV)'!I39)*100</f>
        <v>0.77301475755446236</v>
      </c>
      <c r="J18" s="110">
        <f>('Magazines (RV)'!J18)/('Magazines (RV)'!J39)*100</f>
        <v>0.82375478927203072</v>
      </c>
      <c r="K18" s="110">
        <f>('Magazines (RV)'!K18)/('Magazines (RV)'!K39)*100</f>
        <v>0.8080313418217433</v>
      </c>
      <c r="L18" s="110">
        <f>('Magazines (RV)'!L18)/('Magazines (RV)'!L39)*100</f>
        <v>0.83140418768571622</v>
      </c>
      <c r="M18" s="110">
        <f>('Magazines (RV)'!M18)/('Magazines (RV)'!M39)*100</f>
        <v>0.79998359849106115</v>
      </c>
      <c r="N18" s="81"/>
      <c r="O18" s="81"/>
      <c r="P18" s="81"/>
      <c r="Q18" s="81"/>
      <c r="R18" s="81"/>
      <c r="S18" s="81"/>
      <c r="T18" s="81"/>
    </row>
    <row r="19" spans="1:20" ht="15.75" customHeight="1" x14ac:dyDescent="0.2">
      <c r="A19" s="5" t="s">
        <v>329</v>
      </c>
      <c r="B19" s="81"/>
      <c r="C19" s="81"/>
      <c r="D19" s="81"/>
      <c r="E19" s="81"/>
      <c r="F19" s="81"/>
      <c r="G19" s="110">
        <f>('Magazines (RV)'!G19)/('Magazines (RV)'!G39)*100</f>
        <v>0.53597531265226583</v>
      </c>
      <c r="H19" s="110">
        <f>('Magazines (RV)'!H19)/('Magazines (RV)'!H39)*100</f>
        <v>0.48864016037420643</v>
      </c>
      <c r="I19" s="110">
        <f>('Magazines (RV)'!I19)/('Magazines (RV)'!I39)*100</f>
        <v>0.58093230264698992</v>
      </c>
      <c r="J19" s="110">
        <f>('Magazines (RV)'!J19)/('Magazines (RV)'!J39)*100</f>
        <v>0.57950191570881227</v>
      </c>
      <c r="K19" s="110">
        <f>('Magazines (RV)'!K19)/('Magazines (RV)'!K39)*100</f>
        <v>0.59255631733594505</v>
      </c>
      <c r="L19" s="110">
        <f>('Magazines (RV)'!L19)/('Magazines (RV)'!L39)*100</f>
        <v>0.60969640430285854</v>
      </c>
      <c r="M19" s="110">
        <f>('Magazines (RV)'!M19)/('Magazines (RV)'!M39)*100</f>
        <v>0.59998769886829584</v>
      </c>
      <c r="N19" s="81"/>
      <c r="O19" s="81"/>
      <c r="P19" s="81"/>
      <c r="Q19" s="81"/>
      <c r="R19" s="81"/>
      <c r="S19" s="81"/>
      <c r="T19" s="81"/>
    </row>
    <row r="20" spans="1:20" ht="15.75" customHeight="1" x14ac:dyDescent="0.2">
      <c r="A20" s="5" t="s">
        <v>334</v>
      </c>
      <c r="B20" s="110">
        <f>('Magazines (RV)'!B20)/('Magazines (RV)'!B39)*100</f>
        <v>0.28534370946822313</v>
      </c>
      <c r="C20" s="110">
        <f>('Magazines (RV)'!C20)/('Magazines (RV)'!C39)*100</f>
        <v>0.34838709677419355</v>
      </c>
      <c r="D20" s="110">
        <f>('Magazines (RV)'!D20)/('Magazines (RV)'!D39)*100</f>
        <v>0.34208672904718784</v>
      </c>
      <c r="E20" s="110">
        <f>('Magazines (RV)'!E20)/('Magazines (RV)'!E39)*100</f>
        <v>0.23734177215189869</v>
      </c>
      <c r="F20" s="110">
        <f>('Magazines (RV)'!F20)/('Magazines (RV)'!F39)*100</f>
        <v>1.2307692307692308</v>
      </c>
      <c r="G20" s="110">
        <f>('Magazines (RV)'!G20)/('Magazines (RV)'!G39)*100</f>
        <v>0.90411997184776138</v>
      </c>
      <c r="H20" s="110">
        <f>('Magazines (RV)'!H20)/('Magazines (RV)'!H39)*100</f>
        <v>0.68075509522218502</v>
      </c>
      <c r="I20" s="110">
        <f>('Magazines (RV)'!I20)/('Magazines (RV)'!I39)*100</f>
        <v>0.62221950872746923</v>
      </c>
      <c r="J20" s="110">
        <f>('Magazines (RV)'!J20)/('Magazines (RV)'!J39)*100</f>
        <v>0.54744308222924798</v>
      </c>
      <c r="K20" s="110">
        <f>('Magazines (RV)'!K20)/('Magazines (RV)'!K39)*100</f>
        <v>0.56774562882664159</v>
      </c>
      <c r="L20" s="110">
        <f>('Magazines (RV)'!L20)/('Magazines (RV)'!L39)*100</f>
        <v>0.58450233800935214</v>
      </c>
      <c r="M20" s="110">
        <f>('Magazines (RV)'!M20)/('Magazines (RV)'!M39)*100</f>
        <v>0.59998769886829584</v>
      </c>
      <c r="N20" s="81"/>
      <c r="O20" s="81"/>
      <c r="P20" s="81"/>
      <c r="Q20" s="81"/>
      <c r="R20" s="81"/>
      <c r="S20" s="81"/>
      <c r="T20" s="81"/>
    </row>
    <row r="21" spans="1:20" ht="15.75" customHeight="1" x14ac:dyDescent="0.2">
      <c r="A21" s="5" t="s">
        <v>338</v>
      </c>
      <c r="B21" s="81"/>
      <c r="C21" s="81"/>
      <c r="D21" s="81"/>
      <c r="E21" s="81"/>
      <c r="F21" s="81"/>
      <c r="G21" s="110">
        <f>('Magazines (RV)'!G21)/('Magazines (RV)'!G39)*100</f>
        <v>0.35731687510151044</v>
      </c>
      <c r="H21" s="110">
        <f>('Magazines (RV)'!H21)/('Magazines (RV)'!H39)*100</f>
        <v>0.51369863013698625</v>
      </c>
      <c r="I21" s="110">
        <f>('Magazines (RV)'!I21)/('Magazines (RV)'!I39)*100</f>
        <v>0.55750761302412744</v>
      </c>
      <c r="J21" s="110">
        <f>('Magazines (RV)'!J21)/('Magazines (RV)'!J39)*100</f>
        <v>0.53639846743295017</v>
      </c>
      <c r="K21" s="110">
        <f>('Magazines (RV)'!K21)/('Magazines (RV)'!K39)*100</f>
        <v>0.54848188050930458</v>
      </c>
      <c r="L21" s="110">
        <f>('Magazines (RV)'!L21)/('Magazines (RV)'!L39)*100</f>
        <v>0.56434708497454678</v>
      </c>
      <c r="M21" s="110">
        <f>('Magazines (RV)'!M21)/('Magazines (RV)'!M39)*100</f>
        <v>0.59998769886829584</v>
      </c>
      <c r="N21" s="81"/>
      <c r="O21" s="81"/>
      <c r="P21" s="81"/>
      <c r="Q21" s="81"/>
      <c r="R21" s="81"/>
      <c r="S21" s="81"/>
      <c r="T21" s="81"/>
    </row>
    <row r="22" spans="1:20" ht="15.75" customHeight="1" x14ac:dyDescent="0.2">
      <c r="A22" s="5" t="s">
        <v>343</v>
      </c>
      <c r="B22" s="81"/>
      <c r="C22" s="81"/>
      <c r="D22" s="81"/>
      <c r="E22" s="81"/>
      <c r="F22" s="81"/>
      <c r="G22" s="110">
        <f>('Magazines (RV)'!G22)/('Magazines (RV)'!G39)*100</f>
        <v>0.5034919603703103</v>
      </c>
      <c r="H22" s="110">
        <f>('Magazines (RV)'!H22)/('Magazines (RV)'!H39)*100</f>
        <v>0.44687604410290671</v>
      </c>
      <c r="I22" s="110">
        <f>('Magazines (RV)'!I22)/('Magazines (RV)'!I39)*100</f>
        <v>0.45912391660810498</v>
      </c>
      <c r="J22" s="110">
        <f>('Magazines (RV)'!J22)/('Magazines (RV)'!J39)*100</f>
        <v>0.45996168582375485</v>
      </c>
      <c r="K22" s="110">
        <f>('Magazines (RV)'!K22)/('Magazines (RV)'!K39)*100</f>
        <v>0.4609167482859941</v>
      </c>
      <c r="L22" s="110">
        <f>('Magazines (RV)'!L22)/('Magazines (RV)'!L39)*100</f>
        <v>0.4736484463179233</v>
      </c>
      <c r="M22" s="110">
        <f>('Magazines (RV)'!M22)/('Magazines (RV)'!M39)*100</f>
        <v>0.49998974905691329</v>
      </c>
      <c r="N22" s="81"/>
      <c r="O22" s="81"/>
      <c r="P22" s="81"/>
      <c r="Q22" s="81"/>
      <c r="R22" s="81"/>
      <c r="S22" s="81"/>
      <c r="T22" s="81"/>
    </row>
    <row r="23" spans="1:20" ht="15.75" customHeight="1" x14ac:dyDescent="0.2">
      <c r="A23" s="5" t="s">
        <v>355</v>
      </c>
      <c r="B23" s="81"/>
      <c r="C23" s="81"/>
      <c r="D23" s="81"/>
      <c r="E23" s="81"/>
      <c r="F23" s="81"/>
      <c r="G23" s="110">
        <f>('Magazines (RV)'!G23)/('Magazines (RV)'!G39)*100</f>
        <v>0.30317795463158465</v>
      </c>
      <c r="H23" s="110">
        <f>('Magazines (RV)'!H23)/('Magazines (RV)'!H39)*100</f>
        <v>0.26311393250918808</v>
      </c>
      <c r="I23" s="110">
        <f>('Magazines (RV)'!I23)/('Magazines (RV)'!I39)*100</f>
        <v>0.38884984773951747</v>
      </c>
      <c r="J23" s="110">
        <f>('Magazines (RV)'!J23)/('Magazines (RV)'!J39)*100</f>
        <v>0.43582375478927199</v>
      </c>
      <c r="K23" s="110">
        <f>('Magazines (RV)'!K23)/('Magazines (RV)'!K39)*100</f>
        <v>0.44564152791380995</v>
      </c>
      <c r="L23" s="110">
        <f>('Magazines (RV)'!L23)/('Magazines (RV)'!L39)*100</f>
        <v>0.4585320065418193</v>
      </c>
      <c r="M23" s="110">
        <f>('Magazines (RV)'!M23)/('Magazines (RV)'!M39)*100</f>
        <v>0.49998974905691329</v>
      </c>
      <c r="N23" s="81"/>
      <c r="O23" s="81"/>
      <c r="P23" s="81"/>
      <c r="Q23" s="81"/>
      <c r="R23" s="81"/>
      <c r="S23" s="81"/>
      <c r="T23" s="81"/>
    </row>
    <row r="24" spans="1:20" ht="15.75" customHeight="1" x14ac:dyDescent="0.2">
      <c r="A24" s="5" t="s">
        <v>300</v>
      </c>
      <c r="B24" s="81"/>
      <c r="C24" s="81"/>
      <c r="D24" s="81"/>
      <c r="E24" s="81"/>
      <c r="F24" s="81"/>
      <c r="G24" s="110">
        <f>('Magazines (RV)'!G24)/('Magazines (RV)'!G39)*100</f>
        <v>0.40604190352444375</v>
      </c>
      <c r="H24" s="110">
        <f>('Magazines (RV)'!H24)/('Magazines (RV)'!H39)*100</f>
        <v>0.32158369528900771</v>
      </c>
      <c r="I24" s="110">
        <f>('Magazines (RV)'!I24)/('Magazines (RV)'!I39)*100</f>
        <v>0.34200046849379245</v>
      </c>
      <c r="J24" s="110">
        <f>('Magazines (RV)'!J24)/('Magazines (RV)'!J39)*100</f>
        <v>0.32088122605363983</v>
      </c>
      <c r="K24" s="110">
        <f>('Magazines (RV)'!K24)/('Magazines (RV)'!K39)*100</f>
        <v>0.32810969637610188</v>
      </c>
      <c r="L24" s="110">
        <f>('Magazines (RV)'!L24)/('Magazines (RV)'!L39)*100</f>
        <v>0.33760048833298784</v>
      </c>
      <c r="M24" s="110">
        <f>('Magazines (RV)'!M24)/('Magazines (RV)'!M39)*100</f>
        <v>0.29999384943414792</v>
      </c>
      <c r="N24" s="81"/>
      <c r="O24" s="81"/>
      <c r="P24" s="81"/>
      <c r="Q24" s="81"/>
      <c r="R24" s="81"/>
      <c r="S24" s="81"/>
      <c r="T24" s="81"/>
    </row>
    <row r="25" spans="1:20" ht="15.75" customHeight="1" x14ac:dyDescent="0.2">
      <c r="A25" s="5" t="s">
        <v>360</v>
      </c>
      <c r="B25" s="81"/>
      <c r="C25" s="81"/>
      <c r="D25" s="81"/>
      <c r="E25" s="81"/>
      <c r="F25" s="81"/>
      <c r="G25" s="110">
        <f>('Magazines (RV)'!G25)/('Magazines (RV)'!G39)*100</f>
        <v>0.19490011369173299</v>
      </c>
      <c r="H25" s="110">
        <f>('Magazines (RV)'!H25)/('Magazines (RV)'!H39)*100</f>
        <v>0.33411293017039762</v>
      </c>
      <c r="I25" s="110">
        <f>('Magazines (RV)'!I25)/('Magazines (RV)'!I39)*100</f>
        <v>0.30538380796440207</v>
      </c>
      <c r="J25" s="110">
        <f>('Magazines (RV)'!J25)/('Magazines (RV)'!J39)*100</f>
        <v>0.26868372133950819</v>
      </c>
      <c r="K25" s="110">
        <f>('Magazines (RV)'!K25)/('Magazines (RV)'!K39)*100</f>
        <v>0.27864816138730875</v>
      </c>
      <c r="L25" s="110">
        <f>('Magazines (RV)'!L25)/('Magazines (RV)'!L39)*100</f>
        <v>0.2872123557459747</v>
      </c>
      <c r="M25" s="110">
        <f>('Magazines (RV)'!M25)/('Magazines (RV)'!M39)*100</f>
        <v>0.29999384943414792</v>
      </c>
      <c r="N25" s="81"/>
      <c r="O25" s="81"/>
      <c r="P25" s="81"/>
      <c r="Q25" s="81"/>
      <c r="R25" s="81"/>
      <c r="S25" s="81"/>
      <c r="T25" s="81"/>
    </row>
    <row r="26" spans="1:20" ht="15.75" customHeight="1" x14ac:dyDescent="0.2">
      <c r="A26" s="5" t="s">
        <v>362</v>
      </c>
      <c r="B26" s="81"/>
      <c r="C26" s="81"/>
      <c r="D26" s="81"/>
      <c r="E26" s="81"/>
      <c r="F26" s="81"/>
      <c r="G26" s="110">
        <f>('Magazines (RV)'!G26)/('Magazines (RV)'!G39)*100</f>
        <v>0.46018082399436955</v>
      </c>
      <c r="H26" s="110">
        <f>('Magazines (RV)'!H26)/('Magazines (RV)'!H39)*100</f>
        <v>0.38422986969595718</v>
      </c>
      <c r="I26" s="110">
        <f>('Magazines (RV)'!I26)/('Magazines (RV)'!I39)*100</f>
        <v>0.35137034434293746</v>
      </c>
      <c r="J26" s="110">
        <f>('Magazines (RV)'!J26)/('Magazines (RV)'!J39)*100</f>
        <v>0.25862068965517243</v>
      </c>
      <c r="K26" s="110">
        <f>('Magazines (RV)'!K26)/('Magazines (RV)'!K39)*100</f>
        <v>0.26444662095984328</v>
      </c>
      <c r="L26" s="110">
        <f>('Magazines (RV)'!L26)/('Magazines (RV)'!L39)*100</f>
        <v>0.27209591596987082</v>
      </c>
      <c r="M26" s="110">
        <f>('Magazines (RV)'!M26)/('Magazines (RV)'!M39)*100</f>
        <v>0.29999384943414792</v>
      </c>
      <c r="N26" s="81"/>
      <c r="O26" s="81"/>
      <c r="P26" s="81"/>
      <c r="Q26" s="81"/>
      <c r="R26" s="81"/>
      <c r="S26" s="81"/>
      <c r="T26" s="81"/>
    </row>
    <row r="27" spans="1:20" ht="15.75" customHeight="1" x14ac:dyDescent="0.2">
      <c r="A27" s="5" t="s">
        <v>473</v>
      </c>
      <c r="B27" s="81"/>
      <c r="C27" s="81"/>
      <c r="D27" s="81"/>
      <c r="E27" s="81"/>
      <c r="F27" s="81"/>
      <c r="G27" s="81"/>
      <c r="H27" s="110">
        <f>('Magazines (RV)'!H27)/('Magazines (RV)'!H39)*100</f>
        <v>0.29652522552622784</v>
      </c>
      <c r="I27" s="110">
        <f>('Magazines (RV)'!I27)/('Magazines (RV)'!I39)*100</f>
        <v>0.31857577887092997</v>
      </c>
      <c r="J27" s="110">
        <f>('Magazines (RV)'!J27)/('Magazines (RV)'!J39)*100</f>
        <v>0.23946360153256704</v>
      </c>
      <c r="K27" s="110">
        <f>('Magazines (RV)'!K27)/('Magazines (RV)'!K39)*100</f>
        <v>0.2448579823702253</v>
      </c>
      <c r="L27" s="110">
        <f>('Magazines (RV)'!L27)/('Magazines (RV)'!L39)*100</f>
        <v>0.25194066293506556</v>
      </c>
      <c r="M27" s="110">
        <f>('Magazines (RV)'!M27)/('Magazines (RV)'!M39)*100</f>
        <v>0.29999384943414792</v>
      </c>
      <c r="N27" s="81"/>
      <c r="O27" s="81"/>
      <c r="P27" s="81"/>
      <c r="Q27" s="81"/>
      <c r="R27" s="81"/>
      <c r="S27" s="81"/>
      <c r="T27" s="81"/>
    </row>
    <row r="28" spans="1:20" ht="15.75" customHeight="1" x14ac:dyDescent="0.2">
      <c r="A28" s="5" t="s">
        <v>474</v>
      </c>
      <c r="B28" s="81"/>
      <c r="C28" s="81"/>
      <c r="D28" s="81"/>
      <c r="E28" s="81"/>
      <c r="F28" s="81"/>
      <c r="G28" s="110">
        <f>('Magazines (RV)'!G28)/('Magazines (RV)'!G39)*100</f>
        <v>0.53597531265226583</v>
      </c>
      <c r="H28" s="110">
        <f>('Magazines (RV)'!H28)/('Magazines (RV)'!H39)*100</f>
        <v>0.13782158369528899</v>
      </c>
      <c r="I28" s="110">
        <f>('Magazines (RV)'!I28)/('Magazines (RV)'!I39)*100</f>
        <v>0.22956195830405249</v>
      </c>
      <c r="J28" s="110">
        <f>('Magazines (RV)'!J28)/('Magazines (RV)'!J39)*100</f>
        <v>0.21072796934865903</v>
      </c>
      <c r="K28" s="110">
        <f>('Magazines (RV)'!K28)/('Magazines (RV)'!K39)*100</f>
        <v>0.21547502448579825</v>
      </c>
      <c r="L28" s="110">
        <f>('Magazines (RV)'!L28)/('Magazines (RV)'!L39)*100</f>
        <v>0.22170778338285768</v>
      </c>
      <c r="M28" s="110">
        <f>('Magazines (RV)'!M28)/('Magazines (RV)'!M39)*100</f>
        <v>0.19999589962276529</v>
      </c>
      <c r="N28" s="81"/>
      <c r="O28" s="81"/>
      <c r="P28" s="81"/>
      <c r="Q28" s="81"/>
      <c r="R28" s="81"/>
      <c r="S28" s="81"/>
      <c r="T28" s="81"/>
    </row>
    <row r="29" spans="1:20" ht="15.75" customHeight="1" x14ac:dyDescent="0.2">
      <c r="A29" s="5" t="s">
        <v>475</v>
      </c>
      <c r="B29" s="81"/>
      <c r="C29" s="81"/>
      <c r="D29" s="81"/>
      <c r="E29" s="81"/>
      <c r="F29" s="81"/>
      <c r="G29" s="110">
        <f>('Magazines (RV)'!G29)/('Magazines (RV)'!G39)*100</f>
        <v>0.19490011369173299</v>
      </c>
      <c r="H29" s="110">
        <f>('Magazines (RV)'!H29)/('Magazines (RV)'!H39)*100</f>
        <v>0.22552622786501836</v>
      </c>
      <c r="I29" s="110">
        <f>('Magazines (RV)'!I29)/('Magazines (RV)'!I39)*100</f>
        <v>0.252986647926915</v>
      </c>
      <c r="J29" s="110">
        <f>('Magazines (RV)'!J29)/('Magazines (RV)'!J39)*100</f>
        <v>0.20593869731800768</v>
      </c>
      <c r="K29" s="110">
        <f>('Magazines (RV)'!K29)/('Magazines (RV)'!K39)*100</f>
        <v>0.21057786483839372</v>
      </c>
      <c r="L29" s="110">
        <f>('Magazines (RV)'!L29)/('Magazines (RV)'!L39)*100</f>
        <v>0.21666897012415637</v>
      </c>
      <c r="M29" s="110">
        <f>('Magazines (RV)'!M29)/('Magazines (RV)'!M39)*100</f>
        <v>0.19999589962276529</v>
      </c>
      <c r="N29" s="81"/>
      <c r="O29" s="81"/>
      <c r="P29" s="81"/>
      <c r="Q29" s="81"/>
      <c r="R29" s="81"/>
      <c r="S29" s="81"/>
      <c r="T29" s="81"/>
    </row>
    <row r="30" spans="1:20" ht="15.75" customHeight="1" x14ac:dyDescent="0.2">
      <c r="A30" s="5" t="s">
        <v>478</v>
      </c>
      <c r="B30" s="81"/>
      <c r="C30" s="81"/>
      <c r="D30" s="81"/>
      <c r="E30" s="81"/>
      <c r="F30" s="81"/>
      <c r="G30" s="110">
        <f>('Magazines (RV)'!G30)/('Magazines (RV)'!G39)*100</f>
        <v>0.19490011369173299</v>
      </c>
      <c r="H30" s="110">
        <f>('Magazines (RV)'!H30)/('Magazines (RV)'!H39)*100</f>
        <v>0.14617440694954895</v>
      </c>
      <c r="I30" s="110">
        <f>('Magazines (RV)'!I30)/('Magazines (RV)'!I39)*100</f>
        <v>0.20145233075661745</v>
      </c>
      <c r="J30" s="110">
        <f>('Magazines (RV)'!J30)/('Magazines (RV)'!J39)*100</f>
        <v>0.19636015325670497</v>
      </c>
      <c r="K30" s="110">
        <f>('Magazines (RV)'!K30)/('Magazines (RV)'!K39)*100</f>
        <v>0.20078354554358468</v>
      </c>
      <c r="L30" s="110">
        <f>('Magazines (RV)'!L30)/('Magazines (RV)'!L39)*100</f>
        <v>0.20659134360675371</v>
      </c>
      <c r="M30" s="110">
        <f>('Magazines (RV)'!M30)/('Magazines (RV)'!M39)*100</f>
        <v>0.19999589962276529</v>
      </c>
      <c r="N30" s="81"/>
      <c r="O30" s="81"/>
      <c r="P30" s="81"/>
      <c r="Q30" s="81"/>
      <c r="R30" s="81"/>
      <c r="S30" s="81"/>
      <c r="T30" s="81"/>
    </row>
    <row r="31" spans="1:20" ht="15.75" customHeight="1" x14ac:dyDescent="0.2">
      <c r="A31" s="5" t="s">
        <v>480</v>
      </c>
      <c r="B31" s="81"/>
      <c r="C31" s="81"/>
      <c r="D31" s="81"/>
      <c r="E31" s="81"/>
      <c r="F31" s="81"/>
      <c r="G31" s="110">
        <f>('Magazines (RV)'!G31)/('Magazines (RV)'!G39)*100</f>
        <v>0.26528071030263661</v>
      </c>
      <c r="H31" s="110">
        <f>('Magazines (RV)'!H31)/('Magazines (RV)'!H39)*100</f>
        <v>0.22970263949214834</v>
      </c>
      <c r="I31" s="110">
        <f>('Magazines (RV)'!I31)/('Magazines (RV)'!I39)*100</f>
        <v>0.21550714453033495</v>
      </c>
      <c r="J31" s="110">
        <f>('Magazines (RV)'!J31)/('Magazines (RV)'!J39)*100</f>
        <v>0.17720306513409964</v>
      </c>
      <c r="K31" s="110">
        <f>('Magazines (RV)'!K31)/('Magazines (RV)'!K39)*100</f>
        <v>0.1811949069539667</v>
      </c>
      <c r="L31" s="110">
        <f>('Magazines (RV)'!L31)/('Magazines (RV)'!L39)*100</f>
        <v>0.18643609057194852</v>
      </c>
      <c r="M31" s="110">
        <f>('Magazines (RV)'!M31)/('Magazines (RV)'!M39)*100</f>
        <v>0.19999589962276529</v>
      </c>
      <c r="N31" s="81"/>
      <c r="O31" s="81"/>
      <c r="P31" s="81"/>
      <c r="Q31" s="81"/>
      <c r="R31" s="81"/>
      <c r="S31" s="81"/>
      <c r="T31" s="81"/>
    </row>
    <row r="32" spans="1:20" ht="15.75" customHeight="1" x14ac:dyDescent="0.2">
      <c r="A32" s="5" t="s">
        <v>481</v>
      </c>
      <c r="B32" s="81"/>
      <c r="C32" s="81"/>
      <c r="D32" s="81"/>
      <c r="E32" s="81"/>
      <c r="F32" s="81"/>
      <c r="G32" s="110">
        <f>('Magazines (RV)'!G32)/('Magazines (RV)'!G39)*100</f>
        <v>0.33566130691354018</v>
      </c>
      <c r="H32" s="110">
        <f>('Magazines (RV)'!H32)/('Magazines (RV)'!H39)*100</f>
        <v>0.26729034413631808</v>
      </c>
      <c r="I32" s="110">
        <f>('Magazines (RV)'!I32)/('Magazines (RV)'!I39)*100</f>
        <v>0.16865776528460996</v>
      </c>
      <c r="J32" s="110">
        <f>('Magazines (RV)'!J32)/('Magazines (RV)'!J39)*100</f>
        <v>0.16283524904214558</v>
      </c>
      <c r="K32" s="110">
        <f>('Magazines (RV)'!K32)/('Magazines (RV)'!K39)*100</f>
        <v>0.16650342801175316</v>
      </c>
      <c r="L32" s="110">
        <f>('Magazines (RV)'!L32)/('Magazines (RV)'!L39)*100</f>
        <v>0.17131965079584455</v>
      </c>
      <c r="M32" s="110">
        <f>('Magazines (RV)'!M32)/('Magazines (RV)'!M39)*100</f>
        <v>0.19999589962276529</v>
      </c>
      <c r="N32" s="81"/>
      <c r="O32" s="81"/>
      <c r="P32" s="81"/>
      <c r="Q32" s="81"/>
      <c r="R32" s="81"/>
      <c r="S32" s="81"/>
      <c r="T32" s="81"/>
    </row>
    <row r="33" spans="1:20" ht="15.75" customHeight="1" x14ac:dyDescent="0.2">
      <c r="A33" s="5" t="s">
        <v>482</v>
      </c>
      <c r="B33" s="81"/>
      <c r="C33" s="81"/>
      <c r="D33" s="81"/>
      <c r="E33" s="81"/>
      <c r="F33" s="81"/>
      <c r="G33" s="110">
        <f>('Magazines (RV)'!G33)/('Magazines (RV)'!G39)*100</f>
        <v>0.36273076714850311</v>
      </c>
      <c r="H33" s="110">
        <f>('Magazines (RV)'!H33)/('Magazines (RV)'!H39)*100</f>
        <v>0.22970263949214834</v>
      </c>
      <c r="I33" s="81"/>
      <c r="J33" s="81"/>
      <c r="K33" s="81"/>
      <c r="L33" s="81"/>
      <c r="M33" s="81"/>
      <c r="N33" s="81"/>
      <c r="O33" s="81"/>
      <c r="P33" s="81"/>
      <c r="Q33" s="81"/>
      <c r="R33" s="81"/>
      <c r="S33" s="81"/>
      <c r="T33" s="81"/>
    </row>
    <row r="34" spans="1:20" ht="15.75" customHeight="1" x14ac:dyDescent="0.2">
      <c r="A34" s="5" t="s">
        <v>484</v>
      </c>
      <c r="B34" s="81"/>
      <c r="C34" s="81"/>
      <c r="D34" s="81"/>
      <c r="E34" s="81"/>
      <c r="F34" s="81"/>
      <c r="G34" s="81"/>
      <c r="H34" s="110">
        <f>('Magazines (RV)'!H34)/('Magazines (RV)'!H39)*100</f>
        <v>0.22552622786501836</v>
      </c>
      <c r="I34" s="110">
        <f>('Magazines (RV)'!I34)/('Magazines (RV)'!I39)*100</f>
        <v>0.17802764113375497</v>
      </c>
      <c r="J34" s="110">
        <f>('Magazines (RV)'!J34)/('Magazines (RV)'!J39)*100</f>
        <v>0.12452107279693488</v>
      </c>
      <c r="K34" s="110">
        <f>('Magazines (RV)'!K34)/('Magazines (RV)'!K39)*100</f>
        <v>0.12732615083251714</v>
      </c>
      <c r="L34" s="110">
        <f>('Magazines (RV)'!L34)/('Magazines (RV)'!L39)*100</f>
        <v>0.13100914472623409</v>
      </c>
      <c r="M34" s="110">
        <f>('Magazines (RV)'!M34)/('Magazines (RV)'!M39)*100</f>
        <v>9.9997949811382644E-2</v>
      </c>
      <c r="N34" s="81"/>
      <c r="O34" s="81"/>
      <c r="P34" s="81"/>
      <c r="Q34" s="81"/>
      <c r="R34" s="81"/>
      <c r="S34" s="81"/>
      <c r="T34" s="81"/>
    </row>
    <row r="35" spans="1:20" ht="15.75" customHeight="1" x14ac:dyDescent="0.2">
      <c r="A35" s="21" t="s">
        <v>485</v>
      </c>
      <c r="B35" s="108"/>
      <c r="C35" s="108"/>
      <c r="D35" s="108"/>
      <c r="E35" s="108"/>
      <c r="F35" s="108"/>
      <c r="G35" s="110">
        <f>('Magazines (RV)'!G35)/('Magazines (RV)'!G39)*100</f>
        <v>0.15158897731579232</v>
      </c>
      <c r="H35" s="110">
        <f>('Magazines (RV)'!H35)/('Magazines (RV)'!H39)*100</f>
        <v>0.15452723020380887</v>
      </c>
      <c r="I35" s="108"/>
      <c r="J35" s="108"/>
      <c r="K35" s="108"/>
      <c r="L35" s="108"/>
      <c r="M35" s="108"/>
      <c r="N35" s="108"/>
      <c r="O35" s="108"/>
      <c r="P35" s="108"/>
      <c r="Q35" s="108"/>
      <c r="R35" s="108"/>
      <c r="S35" s="108"/>
      <c r="T35" s="108"/>
    </row>
    <row r="36" spans="1:20" ht="15.75" customHeight="1" x14ac:dyDescent="0.2">
      <c r="A36" s="21"/>
      <c r="B36" s="108"/>
      <c r="C36" s="108"/>
      <c r="D36" s="108"/>
      <c r="E36" s="108"/>
      <c r="F36" s="108"/>
      <c r="G36" s="108"/>
      <c r="H36" s="108"/>
      <c r="I36" s="108"/>
      <c r="J36" s="108"/>
      <c r="K36" s="108"/>
      <c r="L36" s="108"/>
      <c r="M36" s="108"/>
      <c r="N36" s="108"/>
      <c r="O36" s="108"/>
      <c r="P36" s="108"/>
      <c r="Q36" s="108"/>
      <c r="R36" s="108"/>
      <c r="S36" s="108"/>
      <c r="T36" s="108"/>
    </row>
    <row r="37" spans="1:20" ht="15.75" customHeight="1" x14ac:dyDescent="0.2">
      <c r="A37" s="21"/>
      <c r="B37" s="108"/>
      <c r="C37" s="108"/>
      <c r="D37" s="108"/>
      <c r="E37" s="108"/>
      <c r="F37" s="108"/>
      <c r="G37" s="108"/>
      <c r="H37" s="108"/>
      <c r="I37" s="108"/>
      <c r="J37" s="108"/>
      <c r="K37" s="108"/>
      <c r="L37" s="108"/>
      <c r="M37" s="108"/>
      <c r="N37" s="108"/>
      <c r="O37" s="108"/>
      <c r="P37" s="108"/>
      <c r="Q37" s="108"/>
      <c r="R37" s="108"/>
      <c r="S37" s="108"/>
      <c r="T37" s="108"/>
    </row>
    <row r="38" spans="1:20" ht="15.75" customHeight="1" x14ac:dyDescent="0.2">
      <c r="A38" s="21"/>
      <c r="B38" s="108"/>
      <c r="C38" s="108"/>
      <c r="D38" s="108"/>
      <c r="E38" s="108"/>
      <c r="F38" s="108"/>
      <c r="G38" s="108"/>
      <c r="H38" s="108"/>
      <c r="I38" s="108"/>
      <c r="J38" s="108"/>
      <c r="K38" s="108"/>
      <c r="L38" s="108"/>
      <c r="M38" s="108"/>
      <c r="N38" s="108"/>
      <c r="O38" s="108"/>
      <c r="P38" s="108"/>
      <c r="Q38" s="108"/>
      <c r="R38" s="108"/>
      <c r="S38" s="108"/>
      <c r="T38" s="108"/>
    </row>
    <row r="39" spans="1:20" ht="15.75" customHeight="1" x14ac:dyDescent="0.2">
      <c r="A39" s="198" t="s">
        <v>488</v>
      </c>
      <c r="B39" s="375">
        <f>'Magazines (RV)'!B39</f>
        <v>771</v>
      </c>
      <c r="C39" s="375">
        <f>'Magazines (RV)'!C39</f>
        <v>775</v>
      </c>
      <c r="D39" s="375">
        <f>'Magazines (RV)'!D39</f>
        <v>993.9</v>
      </c>
      <c r="E39" s="375">
        <f>'Magazines (RV)'!E39</f>
        <v>1011.2</v>
      </c>
      <c r="F39" s="375">
        <f>'Magazines (RV)'!F39</f>
        <v>1300</v>
      </c>
      <c r="G39" s="375">
        <f>'Magazines (RV)'!G39</f>
        <v>1847.1</v>
      </c>
      <c r="H39" s="375">
        <f>'Magazines (RV)'!H39</f>
        <v>2394.4</v>
      </c>
      <c r="I39" s="375">
        <f>'Magazines (RV)'!I39</f>
        <v>2134.5</v>
      </c>
      <c r="J39" s="375">
        <f>'Magazines (RV)'!J39</f>
        <v>2088</v>
      </c>
      <c r="K39" s="375">
        <f>'Magazines (RV)'!K39</f>
        <v>2042</v>
      </c>
      <c r="L39" s="390">
        <f>'Magazines (RV)'!L39</f>
        <v>1996</v>
      </c>
      <c r="M39" s="390">
        <f>'Magazines (RV)'!M39</f>
        <v>1951.04</v>
      </c>
      <c r="N39" s="392"/>
      <c r="O39" s="392"/>
      <c r="P39" s="392"/>
      <c r="Q39" s="392"/>
      <c r="R39" s="392"/>
      <c r="S39" s="392"/>
      <c r="T39" s="392"/>
    </row>
    <row r="40" spans="1:20" ht="15.75" customHeight="1" x14ac:dyDescent="0.2">
      <c r="A40" s="198" t="s">
        <v>42</v>
      </c>
      <c r="B40" s="291">
        <f t="shared" ref="B40:D40" si="0">SUM(B4+B6+B9+B8)</f>
        <v>40.54474708171206</v>
      </c>
      <c r="C40" s="291">
        <f t="shared" si="0"/>
        <v>74.56774193548388</v>
      </c>
      <c r="D40" s="291">
        <f t="shared" si="0"/>
        <v>66.737096287352855</v>
      </c>
      <c r="E40" s="291">
        <f>SUM(E3+E6+E9+E7)</f>
        <v>47.280458860759488</v>
      </c>
      <c r="F40" s="291">
        <f t="shared" ref="F40:G40" si="1">SUM(F3+F5+F7+F9)</f>
        <v>43.123076923076923</v>
      </c>
      <c r="G40" s="291">
        <f t="shared" si="1"/>
        <v>32.353418872827682</v>
      </c>
      <c r="H40" s="291">
        <f t="shared" ref="H40:M40" si="2">SUM(H3+H5+H7+H8)</f>
        <v>26.724858002004673</v>
      </c>
      <c r="I40" s="291">
        <f t="shared" si="2"/>
        <v>28.305926446474583</v>
      </c>
      <c r="J40" s="291">
        <f t="shared" si="2"/>
        <v>28.231321839080458</v>
      </c>
      <c r="K40" s="291">
        <f t="shared" si="2"/>
        <v>25.788442703232125</v>
      </c>
      <c r="L40" s="291">
        <f t="shared" si="2"/>
        <v>27.017603947401458</v>
      </c>
      <c r="M40" s="291">
        <f t="shared" si="2"/>
        <v>25.201943578809253</v>
      </c>
      <c r="N40" s="108"/>
      <c r="O40" s="108"/>
      <c r="P40" s="108"/>
      <c r="Q40" s="108"/>
      <c r="R40" s="108"/>
      <c r="S40" s="108"/>
      <c r="T40" s="108"/>
    </row>
    <row r="41" spans="1:20" ht="15.75" customHeight="1" x14ac:dyDescent="0.2">
      <c r="A41" s="198" t="s">
        <v>43</v>
      </c>
      <c r="B41" s="291">
        <f t="shared" ref="B41:M41" si="3">SUMSQ(B3:B35)</f>
        <v>529.88555634621423</v>
      </c>
      <c r="C41" s="291">
        <f t="shared" si="3"/>
        <v>2314.6444120707602</v>
      </c>
      <c r="D41" s="291">
        <f t="shared" si="3"/>
        <v>1785.920066838836</v>
      </c>
      <c r="E41" s="291">
        <f t="shared" si="3"/>
        <v>782.18798526882711</v>
      </c>
      <c r="F41" s="291">
        <f t="shared" si="3"/>
        <v>733.80639053254458</v>
      </c>
      <c r="G41" s="291">
        <f t="shared" si="3"/>
        <v>386.5900540709502</v>
      </c>
      <c r="H41" s="291">
        <f t="shared" si="3"/>
        <v>265.0912568964514</v>
      </c>
      <c r="I41" s="291">
        <f t="shared" si="3"/>
        <v>291.81162318696653</v>
      </c>
      <c r="J41" s="291">
        <f t="shared" si="3"/>
        <v>284.36097144976412</v>
      </c>
      <c r="K41" s="291">
        <f t="shared" si="3"/>
        <v>233.00435757621628</v>
      </c>
      <c r="L41" s="291">
        <f t="shared" si="3"/>
        <v>258.26880795460522</v>
      </c>
      <c r="M41" s="291">
        <f t="shared" si="3"/>
        <v>218.47073077134758</v>
      </c>
      <c r="N41" s="108"/>
      <c r="O41" s="108"/>
      <c r="P41" s="108"/>
      <c r="Q41" s="108"/>
      <c r="R41" s="108"/>
      <c r="S41" s="108"/>
      <c r="T41" s="108"/>
    </row>
    <row r="42" spans="1:20" ht="15.75" customHeight="1" x14ac:dyDescent="0.25">
      <c r="A42" s="25"/>
      <c r="B42" s="24"/>
      <c r="C42" s="24"/>
      <c r="D42" s="24"/>
      <c r="E42" s="24"/>
      <c r="F42" s="24"/>
      <c r="G42" s="24"/>
      <c r="H42" s="24"/>
      <c r="I42" s="24"/>
      <c r="J42" s="24"/>
      <c r="K42" s="24"/>
      <c r="L42" s="24"/>
      <c r="M42" s="24"/>
      <c r="N42" s="24"/>
      <c r="O42" s="24"/>
      <c r="P42" s="24"/>
      <c r="Q42" s="24"/>
      <c r="R42" s="24"/>
      <c r="S42" s="24"/>
      <c r="T42" s="24"/>
    </row>
    <row r="43" spans="1:20" ht="15.75" customHeight="1" x14ac:dyDescent="0.25">
      <c r="A43" s="25"/>
      <c r="B43" s="56"/>
      <c r="C43" s="24"/>
      <c r="D43" s="24"/>
      <c r="E43" s="24"/>
      <c r="F43" s="24"/>
      <c r="G43" s="24"/>
      <c r="H43" s="24"/>
      <c r="I43" s="24"/>
      <c r="J43" s="24"/>
      <c r="K43" s="24"/>
      <c r="L43" s="24"/>
      <c r="M43" s="24"/>
      <c r="N43" s="24"/>
      <c r="O43" s="24"/>
      <c r="P43" s="24"/>
      <c r="Q43" s="24"/>
      <c r="R43" s="24"/>
      <c r="S43" s="24"/>
      <c r="T43" s="24"/>
    </row>
  </sheetData>
  <mergeCells count="1">
    <mergeCell ref="O6:S1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9.125" customWidth="1"/>
    <col min="2" max="2" width="8.875" customWidth="1"/>
    <col min="3" max="3" width="9.75" customWidth="1"/>
    <col min="4" max="4" width="10.125" customWidth="1"/>
    <col min="5" max="5" width="8.25" customWidth="1"/>
    <col min="6" max="6" width="7.75" customWidth="1"/>
    <col min="7" max="7" width="8" customWidth="1"/>
    <col min="8" max="8" width="7.625" customWidth="1"/>
    <col min="9" max="9" width="7.75" customWidth="1"/>
    <col min="10" max="10" width="7.875" customWidth="1"/>
    <col min="11" max="21" width="10.75" customWidth="1"/>
  </cols>
  <sheetData>
    <row r="1" spans="1:21" ht="18.75" customHeight="1" x14ac:dyDescent="0.25">
      <c r="A1" s="62"/>
      <c r="B1" s="644" t="s">
        <v>85</v>
      </c>
      <c r="C1" s="623"/>
      <c r="D1" s="623"/>
      <c r="E1" s="623"/>
      <c r="F1" s="623"/>
      <c r="G1" s="623"/>
      <c r="H1" s="623"/>
      <c r="I1" s="623"/>
      <c r="J1" s="623"/>
      <c r="K1" s="623"/>
      <c r="L1" s="623"/>
      <c r="M1" s="623"/>
      <c r="N1" s="623"/>
      <c r="O1" s="86"/>
      <c r="P1" s="86"/>
      <c r="Q1" s="86"/>
      <c r="R1" s="86"/>
      <c r="S1" s="86"/>
      <c r="T1" s="86"/>
      <c r="U1" s="86"/>
    </row>
    <row r="2" spans="1:21" ht="15.75" customHeight="1" x14ac:dyDescent="0.25">
      <c r="A2" s="10"/>
      <c r="B2" s="12">
        <v>2004</v>
      </c>
      <c r="C2" s="12">
        <v>2005</v>
      </c>
      <c r="D2" s="12">
        <v>2006</v>
      </c>
      <c r="E2" s="12">
        <v>2008</v>
      </c>
      <c r="F2" s="12">
        <v>2009</v>
      </c>
      <c r="G2" s="12">
        <v>2010</v>
      </c>
      <c r="H2" s="12">
        <v>2011</v>
      </c>
      <c r="I2" s="12">
        <v>2012</v>
      </c>
      <c r="J2" s="12">
        <v>2013</v>
      </c>
      <c r="K2" s="10">
        <v>2014</v>
      </c>
      <c r="L2" s="88"/>
      <c r="M2" s="88"/>
      <c r="N2" s="88"/>
      <c r="O2" s="88"/>
      <c r="P2" s="88"/>
      <c r="Q2" s="88"/>
      <c r="R2" s="88"/>
      <c r="S2" s="88"/>
      <c r="T2" s="88"/>
      <c r="U2" s="88"/>
    </row>
    <row r="3" spans="1:21" ht="15.75" customHeight="1" x14ac:dyDescent="0.25">
      <c r="A3" s="88" t="s">
        <v>103</v>
      </c>
      <c r="B3" s="24">
        <v>62</v>
      </c>
      <c r="C3" s="24">
        <v>60</v>
      </c>
      <c r="D3" s="24">
        <v>66</v>
      </c>
      <c r="E3" s="24">
        <v>79</v>
      </c>
      <c r="F3" s="24">
        <v>81.099999999999994</v>
      </c>
      <c r="G3" s="24">
        <v>82.4</v>
      </c>
      <c r="H3" s="24">
        <v>81.099999999999994</v>
      </c>
      <c r="I3" s="24">
        <v>67.900000000000006</v>
      </c>
      <c r="J3" s="24">
        <v>70.454999999999998</v>
      </c>
      <c r="K3" s="90">
        <v>75.8</v>
      </c>
      <c r="L3" s="25"/>
      <c r="M3" s="25"/>
      <c r="N3" s="25"/>
      <c r="O3" s="25"/>
      <c r="P3" s="25"/>
      <c r="Q3" s="25"/>
      <c r="R3" s="25"/>
      <c r="S3" s="25"/>
      <c r="T3" s="25"/>
      <c r="U3" s="25"/>
    </row>
    <row r="4" spans="1:21" ht="15.75" customHeight="1" x14ac:dyDescent="0.25">
      <c r="A4" s="88" t="s">
        <v>105</v>
      </c>
      <c r="B4" s="24">
        <v>12</v>
      </c>
      <c r="C4" s="24">
        <v>17</v>
      </c>
      <c r="D4" s="24">
        <v>14</v>
      </c>
      <c r="E4" s="24">
        <v>5</v>
      </c>
      <c r="F4" s="24">
        <v>4.4000000000000004</v>
      </c>
      <c r="G4" s="24">
        <v>5.9</v>
      </c>
      <c r="H4" s="24">
        <v>8.6</v>
      </c>
      <c r="I4" s="24">
        <v>17.8</v>
      </c>
      <c r="J4" s="24">
        <v>15.025</v>
      </c>
      <c r="K4" s="90">
        <v>10.4</v>
      </c>
      <c r="L4" s="25"/>
      <c r="M4" s="88"/>
      <c r="N4" s="88"/>
      <c r="O4" s="88"/>
      <c r="P4" s="626" t="s">
        <v>8</v>
      </c>
      <c r="Q4" s="623"/>
      <c r="R4" s="623"/>
      <c r="S4" s="623"/>
      <c r="T4" s="623"/>
      <c r="U4" s="623"/>
    </row>
    <row r="5" spans="1:21" ht="15.75" customHeight="1" x14ac:dyDescent="0.25">
      <c r="A5" s="88" t="s">
        <v>106</v>
      </c>
      <c r="B5" s="24">
        <v>15</v>
      </c>
      <c r="C5" s="24">
        <v>16</v>
      </c>
      <c r="D5" s="24">
        <v>13</v>
      </c>
      <c r="E5" s="24">
        <v>4</v>
      </c>
      <c r="F5" s="24">
        <v>3.9</v>
      </c>
      <c r="G5" s="24">
        <v>4.2</v>
      </c>
      <c r="H5" s="24">
        <v>4.2</v>
      </c>
      <c r="I5" s="24">
        <v>5.4</v>
      </c>
      <c r="J5" s="24">
        <v>3.45</v>
      </c>
      <c r="K5" s="90">
        <v>5.7</v>
      </c>
      <c r="L5" s="25"/>
      <c r="M5" s="88"/>
      <c r="N5" s="88"/>
      <c r="O5" s="88"/>
      <c r="P5" s="623"/>
      <c r="Q5" s="623"/>
      <c r="R5" s="623"/>
      <c r="S5" s="623"/>
      <c r="T5" s="623"/>
      <c r="U5" s="623"/>
    </row>
    <row r="6" spans="1:21" ht="15.75" customHeight="1" x14ac:dyDescent="0.25">
      <c r="A6" s="88" t="s">
        <v>107</v>
      </c>
      <c r="B6" s="24">
        <v>4</v>
      </c>
      <c r="C6" s="24">
        <v>4</v>
      </c>
      <c r="D6" s="24">
        <v>2</v>
      </c>
      <c r="E6" s="24">
        <v>2</v>
      </c>
      <c r="F6" s="24">
        <v>1.9</v>
      </c>
      <c r="G6" s="24"/>
      <c r="H6" s="24">
        <v>3.7</v>
      </c>
      <c r="I6" s="24">
        <v>6.2</v>
      </c>
      <c r="J6" s="24">
        <v>4.4749999999999996</v>
      </c>
      <c r="K6" s="90">
        <v>2.1</v>
      </c>
      <c r="L6" s="25"/>
      <c r="M6" s="88"/>
      <c r="N6" s="88"/>
      <c r="O6" s="88"/>
      <c r="P6" s="623"/>
      <c r="Q6" s="623"/>
      <c r="R6" s="623"/>
      <c r="S6" s="623"/>
      <c r="T6" s="623"/>
      <c r="U6" s="623"/>
    </row>
    <row r="7" spans="1:21" ht="15.75" customHeight="1" x14ac:dyDescent="0.25">
      <c r="A7" s="88" t="s">
        <v>108</v>
      </c>
      <c r="B7" s="24"/>
      <c r="C7" s="24"/>
      <c r="D7" s="24"/>
      <c r="E7" s="24">
        <v>2</v>
      </c>
      <c r="F7" s="24">
        <v>2.2000000000000002</v>
      </c>
      <c r="G7" s="24"/>
      <c r="H7" s="24"/>
      <c r="I7" s="24"/>
      <c r="J7" s="24"/>
      <c r="K7" s="88"/>
      <c r="L7" s="88"/>
      <c r="M7" s="88"/>
      <c r="N7" s="88"/>
      <c r="O7" s="88"/>
      <c r="P7" s="623"/>
      <c r="Q7" s="623"/>
      <c r="R7" s="623"/>
      <c r="S7" s="623"/>
      <c r="T7" s="623"/>
      <c r="U7" s="623"/>
    </row>
    <row r="8" spans="1:21" ht="15.75" customHeight="1" x14ac:dyDescent="0.25">
      <c r="A8" s="88" t="s">
        <v>109</v>
      </c>
      <c r="B8" s="24"/>
      <c r="C8" s="24"/>
      <c r="D8" s="24"/>
      <c r="E8" s="24">
        <v>4</v>
      </c>
      <c r="F8" s="24">
        <v>1.5</v>
      </c>
      <c r="G8" s="24">
        <v>1.5</v>
      </c>
      <c r="H8" s="24"/>
      <c r="I8" s="24"/>
      <c r="J8" s="24"/>
      <c r="K8" s="88"/>
      <c r="L8" s="88"/>
      <c r="M8" s="88"/>
      <c r="N8" s="88"/>
      <c r="O8" s="88"/>
      <c r="P8" s="623"/>
      <c r="Q8" s="623"/>
      <c r="R8" s="623"/>
      <c r="S8" s="623"/>
      <c r="T8" s="623"/>
      <c r="U8" s="623"/>
    </row>
    <row r="9" spans="1:21" ht="15.75" customHeight="1" x14ac:dyDescent="0.25">
      <c r="A9" s="88" t="s">
        <v>110</v>
      </c>
      <c r="B9" s="24">
        <v>7</v>
      </c>
      <c r="C9" s="24">
        <v>3</v>
      </c>
      <c r="D9" s="24">
        <v>5</v>
      </c>
      <c r="E9" s="24">
        <v>4</v>
      </c>
      <c r="F9" s="24">
        <v>5</v>
      </c>
      <c r="G9" s="24">
        <v>4.5</v>
      </c>
      <c r="H9" s="24">
        <v>2.4</v>
      </c>
      <c r="I9" s="24">
        <v>2.7</v>
      </c>
      <c r="J9" s="24">
        <v>6.6</v>
      </c>
      <c r="K9" s="90">
        <v>6</v>
      </c>
      <c r="L9" s="88"/>
      <c r="M9" s="88"/>
      <c r="N9" s="88"/>
      <c r="O9" s="88"/>
      <c r="P9" s="623"/>
      <c r="Q9" s="623"/>
      <c r="R9" s="623"/>
      <c r="S9" s="623"/>
      <c r="T9" s="623"/>
      <c r="U9" s="623"/>
    </row>
    <row r="10" spans="1:21" ht="15.75" customHeight="1" x14ac:dyDescent="0.25">
      <c r="A10" s="88"/>
      <c r="B10" s="24"/>
      <c r="C10" s="24"/>
      <c r="D10" s="24"/>
      <c r="E10" s="24"/>
      <c r="F10" s="24"/>
      <c r="G10" s="24"/>
      <c r="H10" s="24"/>
      <c r="I10" s="24"/>
      <c r="J10" s="24"/>
      <c r="K10" s="88"/>
      <c r="L10" s="88"/>
      <c r="M10" s="88"/>
      <c r="N10" s="88"/>
      <c r="O10" s="88"/>
      <c r="P10" s="623"/>
      <c r="Q10" s="623"/>
      <c r="R10" s="623"/>
      <c r="S10" s="623"/>
      <c r="T10" s="623"/>
      <c r="U10" s="623"/>
    </row>
    <row r="11" spans="1:21" ht="15.75" customHeight="1" x14ac:dyDescent="0.25">
      <c r="A11" s="88"/>
      <c r="B11" s="24"/>
      <c r="C11" s="24"/>
      <c r="D11" s="24"/>
      <c r="E11" s="24"/>
      <c r="F11" s="24"/>
      <c r="G11" s="24"/>
      <c r="H11" s="24"/>
      <c r="I11" s="24"/>
      <c r="J11" s="24"/>
      <c r="K11" s="88"/>
      <c r="L11" s="88"/>
      <c r="M11" s="88"/>
      <c r="N11" s="88"/>
      <c r="O11" s="88"/>
      <c r="P11" s="623"/>
      <c r="Q11" s="623"/>
      <c r="R11" s="623"/>
      <c r="S11" s="623"/>
      <c r="T11" s="623"/>
      <c r="U11" s="623"/>
    </row>
    <row r="12" spans="1:21" ht="15.75" customHeight="1" x14ac:dyDescent="0.25">
      <c r="A12" s="88"/>
      <c r="B12" s="24"/>
      <c r="C12" s="24"/>
      <c r="D12" s="24"/>
      <c r="E12" s="24"/>
      <c r="F12" s="24"/>
      <c r="G12" s="24"/>
      <c r="H12" s="24"/>
      <c r="I12" s="24"/>
      <c r="J12" s="24"/>
      <c r="K12" s="88"/>
      <c r="L12" s="88"/>
      <c r="M12" s="88"/>
      <c r="N12" s="88"/>
      <c r="O12" s="88"/>
      <c r="P12" s="623"/>
      <c r="Q12" s="623"/>
      <c r="R12" s="623"/>
      <c r="S12" s="623"/>
      <c r="T12" s="623"/>
      <c r="U12" s="623"/>
    </row>
    <row r="13" spans="1:21" ht="15.75" customHeight="1" x14ac:dyDescent="0.25">
      <c r="A13" s="10" t="s">
        <v>42</v>
      </c>
      <c r="B13" s="58">
        <f t="shared" ref="B13:D13" si="0">SUM(B3+B4+B5+B6)</f>
        <v>93</v>
      </c>
      <c r="C13" s="58">
        <f t="shared" si="0"/>
        <v>97</v>
      </c>
      <c r="D13" s="58">
        <f t="shared" si="0"/>
        <v>95</v>
      </c>
      <c r="E13" s="58">
        <f>SUM(E3+E4+E5+E8)</f>
        <v>92</v>
      </c>
      <c r="F13" s="58">
        <f>SUM(F3+F4+F5+F6)</f>
        <v>91.300000000000011</v>
      </c>
      <c r="G13" s="58">
        <f>SUM(G3+G4+G5+G8)</f>
        <v>94.000000000000014</v>
      </c>
      <c r="H13" s="58">
        <f t="shared" ref="H13:K13" si="1">SUM(H3+H4+H5+H6)</f>
        <v>97.6</v>
      </c>
      <c r="I13" s="58">
        <f t="shared" si="1"/>
        <v>97.300000000000011</v>
      </c>
      <c r="J13" s="58">
        <f t="shared" si="1"/>
        <v>93.405000000000001</v>
      </c>
      <c r="K13" s="58">
        <f t="shared" si="1"/>
        <v>94</v>
      </c>
      <c r="L13" s="88"/>
      <c r="M13" s="88"/>
      <c r="N13" s="88"/>
      <c r="O13" s="88"/>
      <c r="P13" s="623"/>
      <c r="Q13" s="623"/>
      <c r="R13" s="623"/>
      <c r="S13" s="623"/>
      <c r="T13" s="623"/>
      <c r="U13" s="623"/>
    </row>
    <row r="14" spans="1:21" ht="15.75" customHeight="1" x14ac:dyDescent="0.25">
      <c r="A14" s="10" t="s">
        <v>43</v>
      </c>
      <c r="B14" s="58">
        <f t="shared" ref="B14:K14" si="2">SUMSQ(B3:B8)</f>
        <v>4229</v>
      </c>
      <c r="C14" s="58">
        <f t="shared" si="2"/>
        <v>4161</v>
      </c>
      <c r="D14" s="58">
        <f t="shared" si="2"/>
        <v>4725</v>
      </c>
      <c r="E14" s="58">
        <f t="shared" si="2"/>
        <v>6306</v>
      </c>
      <c r="F14" s="58">
        <f t="shared" si="2"/>
        <v>6622.4799999999987</v>
      </c>
      <c r="G14" s="58">
        <f t="shared" si="2"/>
        <v>6844.4600000000019</v>
      </c>
      <c r="H14" s="58">
        <f t="shared" si="2"/>
        <v>6682.4999999999991</v>
      </c>
      <c r="I14" s="58">
        <f t="shared" si="2"/>
        <v>4994.8500000000004</v>
      </c>
      <c r="J14" s="58">
        <f t="shared" si="2"/>
        <v>5221.5857749999996</v>
      </c>
      <c r="K14" s="58">
        <f t="shared" si="2"/>
        <v>5890.6999999999989</v>
      </c>
      <c r="L14" s="88"/>
      <c r="M14" s="88"/>
      <c r="N14" s="88"/>
      <c r="O14" s="88"/>
      <c r="P14" s="623"/>
      <c r="Q14" s="623"/>
      <c r="R14" s="623"/>
      <c r="S14" s="623"/>
      <c r="T14" s="623"/>
      <c r="U14" s="623"/>
    </row>
    <row r="15" spans="1:21" ht="15.75" customHeight="1" x14ac:dyDescent="0.25">
      <c r="A15" s="88"/>
      <c r="B15" s="25"/>
      <c r="C15" s="25"/>
      <c r="D15" s="25"/>
      <c r="E15" s="25"/>
      <c r="F15" s="25"/>
      <c r="G15" s="25"/>
      <c r="H15" s="25"/>
      <c r="I15" s="25"/>
      <c r="J15" s="88"/>
      <c r="K15" s="88"/>
      <c r="L15" s="88"/>
      <c r="M15" s="88"/>
      <c r="N15" s="88"/>
      <c r="O15" s="88"/>
      <c r="P15" s="88"/>
      <c r="Q15" s="88"/>
      <c r="R15" s="88"/>
      <c r="S15" s="88"/>
      <c r="T15" s="88"/>
      <c r="U15" s="88"/>
    </row>
    <row r="16" spans="1:21" ht="25.5" customHeight="1" x14ac:dyDescent="0.25">
      <c r="A16" s="88"/>
      <c r="B16" s="645" t="s">
        <v>120</v>
      </c>
      <c r="C16" s="623"/>
      <c r="D16" s="623"/>
      <c r="E16" s="623"/>
      <c r="F16" s="623"/>
      <c r="G16" s="623"/>
      <c r="H16" s="623"/>
      <c r="I16" s="623"/>
      <c r="J16" s="623"/>
      <c r="K16" s="623"/>
      <c r="L16" s="623"/>
      <c r="M16" s="623"/>
      <c r="N16" s="623"/>
      <c r="O16" s="126"/>
      <c r="P16" s="126"/>
      <c r="Q16" s="126"/>
      <c r="R16" s="126"/>
      <c r="S16" s="126"/>
      <c r="T16" s="126"/>
      <c r="U16" s="126"/>
    </row>
    <row r="17" spans="1:21" ht="15.75" customHeight="1" x14ac:dyDescent="0.25">
      <c r="A17" s="88"/>
      <c r="B17" s="88"/>
      <c r="C17" s="88"/>
      <c r="D17" s="88"/>
      <c r="E17" s="88"/>
      <c r="F17" s="88"/>
      <c r="G17" s="88"/>
      <c r="H17" s="88"/>
      <c r="I17" s="88"/>
      <c r="J17" s="88"/>
      <c r="K17" s="88"/>
      <c r="L17" s="88"/>
      <c r="M17" s="88"/>
      <c r="N17" s="170"/>
      <c r="O17" s="170"/>
      <c r="P17" s="170"/>
      <c r="Q17" s="170"/>
      <c r="R17" s="170"/>
      <c r="S17" s="170"/>
      <c r="T17" s="170"/>
      <c r="U17" s="170"/>
    </row>
    <row r="18" spans="1:21" ht="15.75" customHeight="1" x14ac:dyDescent="0.25">
      <c r="A18" s="88"/>
      <c r="B18" s="88"/>
      <c r="C18" s="88"/>
      <c r="D18" s="88"/>
      <c r="E18" s="88"/>
      <c r="F18" s="88"/>
      <c r="G18" s="88"/>
      <c r="H18" s="88"/>
      <c r="I18" s="88"/>
      <c r="J18" s="88"/>
      <c r="K18" s="88"/>
      <c r="L18" s="88"/>
      <c r="M18" s="88"/>
      <c r="N18" s="170"/>
      <c r="O18" s="170"/>
      <c r="P18" s="170"/>
      <c r="Q18" s="170"/>
      <c r="R18" s="170"/>
      <c r="S18" s="170"/>
      <c r="T18" s="170"/>
      <c r="U18" s="170"/>
    </row>
    <row r="19" spans="1:21" ht="15.75" customHeight="1" x14ac:dyDescent="0.25">
      <c r="A19" s="88"/>
      <c r="B19" s="88"/>
      <c r="C19" s="88"/>
      <c r="D19" s="88"/>
      <c r="E19" s="88"/>
      <c r="F19" s="88"/>
      <c r="G19" s="88"/>
      <c r="H19" s="88"/>
      <c r="I19" s="88"/>
      <c r="J19" s="88"/>
      <c r="K19" s="88"/>
      <c r="L19" s="88"/>
      <c r="M19" s="88"/>
      <c r="N19" s="170"/>
      <c r="O19" s="170"/>
      <c r="P19" s="170"/>
      <c r="Q19" s="170"/>
      <c r="R19" s="170"/>
      <c r="S19" s="170"/>
      <c r="T19" s="170"/>
      <c r="U19" s="170"/>
    </row>
    <row r="20" spans="1:21" ht="15.75" customHeight="1" x14ac:dyDescent="0.25">
      <c r="A20" s="88"/>
      <c r="B20" s="88"/>
      <c r="C20" s="88"/>
      <c r="D20" s="88"/>
      <c r="E20" s="88"/>
      <c r="F20" s="88"/>
      <c r="G20" s="88"/>
      <c r="H20" s="88"/>
      <c r="I20" s="88"/>
      <c r="J20" s="88"/>
      <c r="K20" s="88"/>
      <c r="L20" s="88"/>
      <c r="M20" s="88"/>
      <c r="N20" s="170"/>
      <c r="O20" s="170"/>
      <c r="P20" s="170"/>
      <c r="Q20" s="170"/>
      <c r="R20" s="170"/>
      <c r="S20" s="170"/>
      <c r="T20" s="170"/>
      <c r="U20" s="170"/>
    </row>
  </sheetData>
  <mergeCells count="3">
    <mergeCell ref="B1:N1"/>
    <mergeCell ref="B16:N16"/>
    <mergeCell ref="P4:U14"/>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7.25" defaultRowHeight="15" customHeight="1" x14ac:dyDescent="0.2"/>
  <cols>
    <col min="1" max="2" width="11" customWidth="1"/>
    <col min="3" max="3" width="14.25" customWidth="1"/>
    <col min="4" max="26" width="11" customWidth="1"/>
  </cols>
  <sheetData>
    <row r="1" spans="1:26" ht="12.75" customHeight="1" x14ac:dyDescent="0.2">
      <c r="A1" s="648" t="s">
        <v>88</v>
      </c>
      <c r="B1" s="623"/>
      <c r="C1" s="623"/>
      <c r="D1" s="623"/>
      <c r="E1" s="623"/>
      <c r="F1" s="623"/>
      <c r="G1" s="115"/>
      <c r="H1" s="115"/>
      <c r="I1" s="115"/>
      <c r="J1" s="115"/>
      <c r="K1" s="115"/>
      <c r="L1" s="115"/>
      <c r="M1" s="115"/>
      <c r="N1" s="115"/>
      <c r="O1" s="115"/>
      <c r="P1" s="115"/>
      <c r="Q1" s="115"/>
      <c r="R1" s="115"/>
      <c r="S1" s="115"/>
      <c r="T1" s="115"/>
      <c r="U1" s="115"/>
      <c r="V1" s="115"/>
      <c r="W1" s="115"/>
      <c r="X1" s="115"/>
      <c r="Y1" s="115"/>
      <c r="Z1" s="115"/>
    </row>
    <row r="2" spans="1:26" ht="15.75" customHeight="1" x14ac:dyDescent="0.25">
      <c r="A2" s="117"/>
      <c r="B2" s="12">
        <v>2004</v>
      </c>
      <c r="C2" s="12">
        <v>2005</v>
      </c>
      <c r="D2" s="12">
        <v>2006</v>
      </c>
      <c r="E2" s="12">
        <v>2008</v>
      </c>
      <c r="F2" s="12">
        <v>2009</v>
      </c>
      <c r="G2" s="12">
        <v>2010</v>
      </c>
      <c r="H2" s="12">
        <v>2011</v>
      </c>
      <c r="I2" s="12">
        <v>2012</v>
      </c>
      <c r="J2" s="12">
        <v>2013</v>
      </c>
      <c r="K2" s="10">
        <v>2014</v>
      </c>
      <c r="L2" s="115"/>
      <c r="M2" s="115"/>
      <c r="N2" s="115"/>
      <c r="O2" s="115"/>
      <c r="P2" s="115"/>
      <c r="Q2" s="115"/>
      <c r="R2" s="115"/>
      <c r="S2" s="115"/>
      <c r="T2" s="115"/>
      <c r="U2" s="115"/>
      <c r="V2" s="115"/>
      <c r="W2" s="115"/>
      <c r="X2" s="115"/>
      <c r="Y2" s="115"/>
      <c r="Z2" s="115"/>
    </row>
    <row r="3" spans="1:26" ht="12.75" customHeight="1" x14ac:dyDescent="0.2">
      <c r="A3" s="117" t="s">
        <v>176</v>
      </c>
      <c r="B3" s="117"/>
      <c r="C3" s="117"/>
      <c r="D3" s="117"/>
      <c r="E3" s="117"/>
      <c r="F3" s="117"/>
      <c r="G3" s="117"/>
      <c r="H3" s="117"/>
      <c r="I3" s="117"/>
      <c r="J3" s="120">
        <v>57.91</v>
      </c>
      <c r="K3" s="122">
        <v>59.1</v>
      </c>
      <c r="L3" s="115"/>
      <c r="M3" s="115"/>
      <c r="N3" s="115"/>
      <c r="O3" s="115"/>
      <c r="P3" s="115"/>
      <c r="Q3" s="115"/>
      <c r="R3" s="115"/>
      <c r="S3" s="115"/>
      <c r="T3" s="115"/>
      <c r="U3" s="115"/>
      <c r="V3" s="115"/>
      <c r="W3" s="115"/>
      <c r="X3" s="115"/>
      <c r="Y3" s="115"/>
      <c r="Z3" s="115"/>
    </row>
    <row r="4" spans="1:26" ht="12.75" customHeight="1" x14ac:dyDescent="0.2">
      <c r="A4" s="117" t="s">
        <v>179</v>
      </c>
      <c r="B4" s="117"/>
      <c r="C4" s="117"/>
      <c r="D4" s="117"/>
      <c r="E4" s="117"/>
      <c r="F4" s="117"/>
      <c r="G4" s="117"/>
      <c r="H4" s="117"/>
      <c r="I4" s="117"/>
      <c r="J4" s="120">
        <v>16.22</v>
      </c>
      <c r="K4" s="122">
        <v>22.7</v>
      </c>
      <c r="L4" s="115"/>
      <c r="M4" s="626" t="s">
        <v>8</v>
      </c>
      <c r="N4" s="623"/>
      <c r="O4" s="623"/>
      <c r="P4" s="623"/>
      <c r="Q4" s="623"/>
      <c r="R4" s="115"/>
      <c r="S4" s="115"/>
      <c r="T4" s="115"/>
      <c r="U4" s="115"/>
      <c r="V4" s="115"/>
      <c r="W4" s="115"/>
      <c r="X4" s="115"/>
      <c r="Y4" s="115"/>
      <c r="Z4" s="115"/>
    </row>
    <row r="5" spans="1:26" ht="12.75" customHeight="1" x14ac:dyDescent="0.2">
      <c r="A5" s="117" t="s">
        <v>180</v>
      </c>
      <c r="B5" s="117"/>
      <c r="C5" s="117"/>
      <c r="D5" s="117"/>
      <c r="E5" s="117"/>
      <c r="F5" s="117"/>
      <c r="G5" s="117"/>
      <c r="H5" s="117"/>
      <c r="I5" s="117"/>
      <c r="J5" s="120">
        <v>18.350000000000001</v>
      </c>
      <c r="K5" s="122">
        <v>11.9</v>
      </c>
      <c r="L5" s="115"/>
      <c r="M5" s="623"/>
      <c r="N5" s="623"/>
      <c r="O5" s="623"/>
      <c r="P5" s="623"/>
      <c r="Q5" s="623"/>
      <c r="R5" s="115"/>
      <c r="S5" s="115"/>
      <c r="T5" s="115"/>
      <c r="U5" s="115"/>
      <c r="V5" s="115"/>
      <c r="W5" s="115"/>
      <c r="X5" s="115"/>
      <c r="Y5" s="115"/>
      <c r="Z5" s="115"/>
    </row>
    <row r="6" spans="1:26" ht="12.75" customHeight="1" x14ac:dyDescent="0.2">
      <c r="A6" s="117" t="s">
        <v>183</v>
      </c>
      <c r="B6" s="117"/>
      <c r="C6" s="117"/>
      <c r="D6" s="117"/>
      <c r="E6" s="117"/>
      <c r="F6" s="117"/>
      <c r="G6" s="117"/>
      <c r="H6" s="117"/>
      <c r="I6" s="117"/>
      <c r="J6" s="120">
        <v>5.82</v>
      </c>
      <c r="K6" s="122">
        <v>5</v>
      </c>
      <c r="L6" s="115"/>
      <c r="M6" s="623"/>
      <c r="N6" s="623"/>
      <c r="O6" s="623"/>
      <c r="P6" s="623"/>
      <c r="Q6" s="623"/>
      <c r="R6" s="115"/>
      <c r="S6" s="115"/>
      <c r="T6" s="115"/>
      <c r="U6" s="115"/>
      <c r="V6" s="115"/>
      <c r="W6" s="115"/>
      <c r="X6" s="115"/>
      <c r="Y6" s="115"/>
      <c r="Z6" s="115"/>
    </row>
    <row r="7" spans="1:26" ht="12.75" customHeight="1" x14ac:dyDescent="0.2">
      <c r="A7" s="117" t="s">
        <v>187</v>
      </c>
      <c r="B7" s="117"/>
      <c r="C7" s="117"/>
      <c r="D7" s="117"/>
      <c r="E7" s="117"/>
      <c r="F7" s="117"/>
      <c r="G7" s="117"/>
      <c r="H7" s="117"/>
      <c r="I7" s="117"/>
      <c r="J7" s="120">
        <v>1.33</v>
      </c>
      <c r="K7" s="122">
        <v>0.9</v>
      </c>
      <c r="L7" s="115"/>
      <c r="M7" s="623"/>
      <c r="N7" s="623"/>
      <c r="O7" s="623"/>
      <c r="P7" s="623"/>
      <c r="Q7" s="623"/>
      <c r="R7" s="115"/>
      <c r="S7" s="115"/>
      <c r="T7" s="115"/>
      <c r="U7" s="115"/>
      <c r="V7" s="115"/>
      <c r="W7" s="115"/>
      <c r="X7" s="115"/>
      <c r="Y7" s="115"/>
      <c r="Z7" s="115"/>
    </row>
    <row r="8" spans="1:26" ht="12.75" customHeight="1" x14ac:dyDescent="0.2">
      <c r="A8" s="117" t="s">
        <v>110</v>
      </c>
      <c r="B8" s="117"/>
      <c r="C8" s="117"/>
      <c r="D8" s="117"/>
      <c r="E8" s="117"/>
      <c r="F8" s="117"/>
      <c r="G8" s="117"/>
      <c r="H8" s="117"/>
      <c r="I8" s="117"/>
      <c r="J8" s="120">
        <v>0.35</v>
      </c>
      <c r="K8" s="122">
        <v>0.4</v>
      </c>
      <c r="L8" s="115"/>
      <c r="M8" s="623"/>
      <c r="N8" s="623"/>
      <c r="O8" s="623"/>
      <c r="P8" s="623"/>
      <c r="Q8" s="623"/>
      <c r="R8" s="115"/>
      <c r="S8" s="115"/>
      <c r="T8" s="115"/>
      <c r="U8" s="115"/>
      <c r="V8" s="115"/>
      <c r="W8" s="115"/>
      <c r="X8" s="115"/>
      <c r="Y8" s="115"/>
      <c r="Z8" s="115"/>
    </row>
    <row r="9" spans="1:26" ht="12.75" customHeight="1" x14ac:dyDescent="0.2">
      <c r="A9" s="188" t="s">
        <v>42</v>
      </c>
      <c r="B9" s="188"/>
      <c r="C9" s="188"/>
      <c r="D9" s="188"/>
      <c r="E9" s="188"/>
      <c r="F9" s="188"/>
      <c r="G9" s="188"/>
      <c r="H9" s="188"/>
      <c r="I9" s="188"/>
      <c r="J9" s="190">
        <v>98.3</v>
      </c>
      <c r="K9" s="194">
        <f>K3+K4+K5+K6</f>
        <v>98.7</v>
      </c>
      <c r="L9" s="195"/>
      <c r="M9" s="623"/>
      <c r="N9" s="623"/>
      <c r="O9" s="623"/>
      <c r="P9" s="623"/>
      <c r="Q9" s="623"/>
      <c r="R9" s="195"/>
      <c r="S9" s="195"/>
      <c r="T9" s="195"/>
      <c r="U9" s="195"/>
      <c r="V9" s="195"/>
      <c r="W9" s="195"/>
      <c r="X9" s="195"/>
      <c r="Y9" s="195"/>
      <c r="Z9" s="195"/>
    </row>
    <row r="10" spans="1:26" ht="12.75" customHeight="1" x14ac:dyDescent="0.2">
      <c r="A10" s="195" t="s">
        <v>43</v>
      </c>
      <c r="B10" s="195"/>
      <c r="C10" s="195"/>
      <c r="D10" s="195"/>
      <c r="E10" s="195"/>
      <c r="F10" s="195"/>
      <c r="G10" s="195"/>
      <c r="H10" s="195"/>
      <c r="I10" s="195"/>
      <c r="J10" s="221">
        <v>3989.02</v>
      </c>
      <c r="K10" s="240">
        <v>4175.5200000000004</v>
      </c>
      <c r="L10" s="195"/>
      <c r="M10" s="623"/>
      <c r="N10" s="623"/>
      <c r="O10" s="623"/>
      <c r="P10" s="623"/>
      <c r="Q10" s="623"/>
      <c r="R10" s="195"/>
      <c r="S10" s="195"/>
      <c r="T10" s="195"/>
      <c r="U10" s="195"/>
      <c r="V10" s="195"/>
      <c r="W10" s="195"/>
      <c r="X10" s="195"/>
      <c r="Y10" s="195"/>
      <c r="Z10" s="195"/>
    </row>
    <row r="11" spans="1:26" ht="12.75" customHeight="1" x14ac:dyDescent="0.2">
      <c r="A11" s="115"/>
      <c r="B11" s="115"/>
      <c r="C11" s="115"/>
      <c r="D11" s="115"/>
      <c r="E11" s="115"/>
      <c r="F11" s="115"/>
      <c r="G11" s="115"/>
      <c r="H11" s="115"/>
      <c r="I11" s="115"/>
      <c r="J11" s="115"/>
      <c r="K11" s="115"/>
      <c r="L11" s="115"/>
      <c r="M11" s="623"/>
      <c r="N11" s="623"/>
      <c r="O11" s="623"/>
      <c r="P11" s="623"/>
      <c r="Q11" s="623"/>
      <c r="R11" s="115"/>
      <c r="S11" s="115"/>
      <c r="T11" s="115"/>
      <c r="U11" s="115"/>
      <c r="V11" s="115"/>
      <c r="W11" s="115"/>
      <c r="X11" s="115"/>
      <c r="Y11" s="115"/>
      <c r="Z11" s="115"/>
    </row>
    <row r="12" spans="1:26" ht="12.75" customHeight="1" x14ac:dyDescent="0.2">
      <c r="A12" s="646" t="s">
        <v>424</v>
      </c>
      <c r="B12" s="623"/>
      <c r="C12" s="623"/>
      <c r="D12" s="623"/>
      <c r="E12" s="623"/>
      <c r="F12" s="623"/>
      <c r="G12" s="623"/>
      <c r="H12" s="623"/>
      <c r="I12" s="623"/>
      <c r="J12" s="623"/>
      <c r="K12" s="623"/>
      <c r="L12" s="115"/>
      <c r="M12" s="623"/>
      <c r="N12" s="623"/>
      <c r="O12" s="623"/>
      <c r="P12" s="623"/>
      <c r="Q12" s="623"/>
      <c r="R12" s="115"/>
      <c r="S12" s="115"/>
      <c r="T12" s="115"/>
      <c r="U12" s="115"/>
      <c r="V12" s="115"/>
      <c r="W12" s="115"/>
      <c r="X12" s="115"/>
      <c r="Y12" s="115"/>
      <c r="Z12" s="115"/>
    </row>
    <row r="13" spans="1:26" ht="12.75" customHeight="1" x14ac:dyDescent="0.2">
      <c r="A13" s="115"/>
      <c r="B13" s="115"/>
      <c r="C13" s="115"/>
      <c r="D13" s="115"/>
      <c r="E13" s="115"/>
      <c r="F13" s="115"/>
      <c r="G13" s="115"/>
      <c r="H13" s="115"/>
      <c r="I13" s="115"/>
      <c r="J13" s="115"/>
      <c r="K13" s="115"/>
      <c r="L13" s="115"/>
      <c r="M13" s="623"/>
      <c r="N13" s="623"/>
      <c r="O13" s="623"/>
      <c r="P13" s="623"/>
      <c r="Q13" s="623"/>
      <c r="R13" s="115"/>
      <c r="S13" s="115"/>
      <c r="T13" s="115"/>
      <c r="U13" s="115"/>
      <c r="V13" s="115"/>
      <c r="W13" s="115"/>
      <c r="X13" s="115"/>
      <c r="Y13" s="115"/>
      <c r="Z13" s="115"/>
    </row>
    <row r="14" spans="1:26" ht="12.75" customHeight="1" x14ac:dyDescent="0.2">
      <c r="A14" s="648" t="s">
        <v>427</v>
      </c>
      <c r="B14" s="623"/>
      <c r="C14" s="623"/>
      <c r="D14" s="623"/>
      <c r="E14" s="623"/>
      <c r="F14" s="623"/>
      <c r="G14" s="115"/>
      <c r="H14" s="115"/>
      <c r="I14" s="115"/>
      <c r="J14" s="115"/>
      <c r="K14" s="115"/>
      <c r="L14" s="115"/>
      <c r="M14" s="623"/>
      <c r="N14" s="623"/>
      <c r="O14" s="623"/>
      <c r="P14" s="623"/>
      <c r="Q14" s="623"/>
      <c r="R14" s="115"/>
      <c r="S14" s="115"/>
      <c r="T14" s="115"/>
      <c r="U14" s="115"/>
      <c r="V14" s="115"/>
      <c r="W14" s="115"/>
      <c r="X14" s="115"/>
      <c r="Y14" s="115"/>
      <c r="Z14" s="115"/>
    </row>
    <row r="15" spans="1:26" ht="15.75" customHeight="1" x14ac:dyDescent="0.25">
      <c r="A15" s="117"/>
      <c r="B15" s="12">
        <v>2004</v>
      </c>
      <c r="C15" s="12">
        <v>2005</v>
      </c>
      <c r="D15" s="12">
        <v>2006</v>
      </c>
      <c r="E15" s="12">
        <v>2008</v>
      </c>
      <c r="F15" s="12">
        <v>2009</v>
      </c>
      <c r="G15" s="12">
        <v>2010</v>
      </c>
      <c r="H15" s="12">
        <v>2011</v>
      </c>
      <c r="I15" s="12">
        <v>2012</v>
      </c>
      <c r="J15" s="12">
        <v>2013</v>
      </c>
      <c r="K15" s="10">
        <v>2014</v>
      </c>
      <c r="L15" s="115"/>
      <c r="M15" s="623"/>
      <c r="N15" s="623"/>
      <c r="O15" s="623"/>
      <c r="P15" s="623"/>
      <c r="Q15" s="623"/>
      <c r="R15" s="115"/>
      <c r="S15" s="115"/>
      <c r="T15" s="115"/>
      <c r="U15" s="115"/>
      <c r="V15" s="115"/>
      <c r="W15" s="115"/>
      <c r="X15" s="115"/>
      <c r="Y15" s="115"/>
      <c r="Z15" s="115"/>
    </row>
    <row r="16" spans="1:26" ht="12.75" customHeight="1" x14ac:dyDescent="0.2">
      <c r="A16" s="117" t="s">
        <v>183</v>
      </c>
      <c r="B16" s="117"/>
      <c r="C16" s="117"/>
      <c r="D16" s="117"/>
      <c r="E16" s="117"/>
      <c r="F16" s="117"/>
      <c r="G16" s="117"/>
      <c r="H16" s="117"/>
      <c r="I16" s="117"/>
      <c r="J16" s="120">
        <v>75.56</v>
      </c>
      <c r="K16" s="122">
        <v>48.4</v>
      </c>
      <c r="L16" s="115"/>
      <c r="M16" s="115"/>
      <c r="N16" s="115"/>
      <c r="O16" s="115"/>
      <c r="P16" s="115"/>
      <c r="Q16" s="115"/>
      <c r="R16" s="115"/>
      <c r="S16" s="115"/>
      <c r="T16" s="115"/>
      <c r="U16" s="115"/>
      <c r="V16" s="115"/>
      <c r="W16" s="115"/>
      <c r="X16" s="115"/>
      <c r="Y16" s="115"/>
      <c r="Z16" s="115"/>
    </row>
    <row r="17" spans="1:26" ht="12.75" customHeight="1" x14ac:dyDescent="0.2">
      <c r="A17" s="117" t="s">
        <v>431</v>
      </c>
      <c r="B17" s="117"/>
      <c r="C17" s="117"/>
      <c r="D17" s="117"/>
      <c r="E17" s="117"/>
      <c r="F17" s="117"/>
      <c r="G17" s="117"/>
      <c r="H17" s="117"/>
      <c r="I17" s="117"/>
      <c r="J17" s="120">
        <v>22.46</v>
      </c>
      <c r="K17" s="122">
        <v>42.6</v>
      </c>
      <c r="L17" s="115"/>
      <c r="M17" s="115"/>
      <c r="N17" s="115"/>
      <c r="O17" s="115"/>
      <c r="P17" s="115"/>
      <c r="Q17" s="115"/>
      <c r="R17" s="115"/>
      <c r="S17" s="115"/>
      <c r="T17" s="115"/>
      <c r="U17" s="115"/>
      <c r="V17" s="115"/>
      <c r="W17" s="115"/>
      <c r="X17" s="115"/>
      <c r="Y17" s="115"/>
      <c r="Z17" s="115"/>
    </row>
    <row r="18" spans="1:26" ht="12.75" customHeight="1" x14ac:dyDescent="0.2">
      <c r="A18" s="117" t="s">
        <v>187</v>
      </c>
      <c r="B18" s="117"/>
      <c r="C18" s="117"/>
      <c r="D18" s="117"/>
      <c r="E18" s="117"/>
      <c r="F18" s="117"/>
      <c r="G18" s="117"/>
      <c r="H18" s="117"/>
      <c r="I18" s="117"/>
      <c r="J18" s="120">
        <v>1.1499999999999999</v>
      </c>
      <c r="K18" s="122">
        <v>6.7</v>
      </c>
      <c r="L18" s="115"/>
      <c r="M18" s="115"/>
      <c r="N18" s="115"/>
      <c r="O18" s="115"/>
      <c r="P18" s="115"/>
      <c r="Q18" s="115"/>
      <c r="R18" s="115"/>
      <c r="S18" s="115"/>
      <c r="T18" s="115"/>
      <c r="U18" s="115"/>
      <c r="V18" s="115"/>
      <c r="W18" s="115"/>
      <c r="X18" s="115"/>
      <c r="Y18" s="115"/>
      <c r="Z18" s="115"/>
    </row>
    <row r="19" spans="1:26" ht="12.75" customHeight="1" x14ac:dyDescent="0.2">
      <c r="A19" s="117" t="s">
        <v>176</v>
      </c>
      <c r="B19" s="117"/>
      <c r="C19" s="117"/>
      <c r="D19" s="117"/>
      <c r="E19" s="117"/>
      <c r="F19" s="117"/>
      <c r="G19" s="117"/>
      <c r="H19" s="117"/>
      <c r="I19" s="117"/>
      <c r="J19" s="120">
        <v>0.63</v>
      </c>
      <c r="K19" s="122">
        <v>2.2000000000000002</v>
      </c>
      <c r="L19" s="115"/>
      <c r="M19" s="115"/>
      <c r="N19" s="115"/>
      <c r="O19" s="115"/>
      <c r="P19" s="115"/>
      <c r="Q19" s="115"/>
      <c r="R19" s="115"/>
      <c r="S19" s="115"/>
      <c r="T19" s="115"/>
      <c r="U19" s="115"/>
      <c r="V19" s="115"/>
      <c r="W19" s="115"/>
      <c r="X19" s="115"/>
      <c r="Y19" s="115"/>
      <c r="Z19" s="115"/>
    </row>
    <row r="20" spans="1:26" ht="12.75" customHeight="1" x14ac:dyDescent="0.2">
      <c r="A20" s="117" t="s">
        <v>110</v>
      </c>
      <c r="B20" s="117"/>
      <c r="C20" s="117"/>
      <c r="D20" s="117"/>
      <c r="E20" s="117"/>
      <c r="F20" s="117"/>
      <c r="G20" s="117"/>
      <c r="H20" s="117"/>
      <c r="I20" s="117"/>
      <c r="J20" s="120">
        <v>0.19</v>
      </c>
      <c r="K20" s="122">
        <v>0.1</v>
      </c>
      <c r="L20" s="115"/>
      <c r="M20" s="115"/>
      <c r="N20" s="115"/>
      <c r="O20" s="115"/>
      <c r="P20" s="115"/>
      <c r="Q20" s="115"/>
      <c r="R20" s="115"/>
      <c r="S20" s="115"/>
      <c r="T20" s="115"/>
      <c r="U20" s="115"/>
      <c r="V20" s="115"/>
      <c r="W20" s="115"/>
      <c r="X20" s="115"/>
      <c r="Y20" s="115"/>
      <c r="Z20" s="115"/>
    </row>
    <row r="21" spans="1:26" ht="12.75" customHeight="1" x14ac:dyDescent="0.2">
      <c r="A21" s="188" t="s">
        <v>42</v>
      </c>
      <c r="B21" s="188"/>
      <c r="C21" s="188"/>
      <c r="D21" s="188"/>
      <c r="E21" s="188"/>
      <c r="F21" s="188"/>
      <c r="G21" s="188"/>
      <c r="H21" s="188"/>
      <c r="I21" s="188"/>
      <c r="J21" s="190">
        <v>99.8</v>
      </c>
      <c r="K21" s="194">
        <f>K16+K17+K18+K19</f>
        <v>99.9</v>
      </c>
      <c r="L21" s="115"/>
      <c r="M21" s="115"/>
      <c r="N21" s="115"/>
      <c r="O21" s="115"/>
      <c r="P21" s="115"/>
      <c r="Q21" s="115"/>
      <c r="R21" s="115"/>
      <c r="S21" s="115"/>
      <c r="T21" s="115"/>
      <c r="U21" s="115"/>
      <c r="V21" s="115"/>
      <c r="W21" s="115"/>
      <c r="X21" s="115"/>
      <c r="Y21" s="115"/>
      <c r="Z21" s="115"/>
    </row>
    <row r="22" spans="1:26" ht="12.75" customHeight="1" x14ac:dyDescent="0.2">
      <c r="A22" s="195" t="s">
        <v>43</v>
      </c>
      <c r="B22" s="195"/>
      <c r="C22" s="195"/>
      <c r="D22" s="195"/>
      <c r="E22" s="195"/>
      <c r="F22" s="195"/>
      <c r="G22" s="195"/>
      <c r="H22" s="195"/>
      <c r="I22" s="195"/>
      <c r="J22" s="221">
        <v>6215.48</v>
      </c>
      <c r="K22" s="240">
        <v>4207.0600000000004</v>
      </c>
      <c r="L22" s="115"/>
      <c r="M22" s="115"/>
      <c r="N22" s="115"/>
      <c r="O22" s="115"/>
      <c r="P22" s="115"/>
      <c r="Q22" s="115"/>
      <c r="R22" s="115"/>
      <c r="S22" s="115"/>
      <c r="T22" s="115"/>
      <c r="U22" s="115"/>
      <c r="V22" s="115"/>
      <c r="W22" s="115"/>
      <c r="X22" s="115"/>
      <c r="Y22" s="115"/>
      <c r="Z22" s="115"/>
    </row>
    <row r="23" spans="1:26" ht="12.75" customHeight="1" x14ac:dyDescent="0.2">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row>
    <row r="24" spans="1:26" ht="12.75" customHeight="1" x14ac:dyDescent="0.2">
      <c r="A24" s="646" t="s">
        <v>424</v>
      </c>
      <c r="B24" s="623"/>
      <c r="C24" s="623"/>
      <c r="D24" s="623"/>
      <c r="E24" s="623"/>
      <c r="F24" s="623"/>
      <c r="G24" s="623"/>
      <c r="H24" s="623"/>
      <c r="I24" s="623"/>
      <c r="J24" s="623"/>
      <c r="K24" s="623"/>
      <c r="L24" s="115"/>
      <c r="M24" s="115"/>
      <c r="N24" s="115"/>
      <c r="O24" s="115"/>
      <c r="P24" s="115"/>
      <c r="Q24" s="115"/>
      <c r="R24" s="115"/>
      <c r="S24" s="115"/>
      <c r="T24" s="115"/>
      <c r="U24" s="115"/>
      <c r="V24" s="115"/>
      <c r="W24" s="115"/>
      <c r="X24" s="115"/>
      <c r="Y24" s="115"/>
      <c r="Z24" s="115"/>
    </row>
    <row r="25" spans="1:26" ht="12.75" customHeight="1" x14ac:dyDescent="0.2">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row>
    <row r="26" spans="1:26" ht="12.75" customHeight="1" x14ac:dyDescent="0.2">
      <c r="A26" s="648" t="s">
        <v>440</v>
      </c>
      <c r="B26" s="623"/>
      <c r="C26" s="623"/>
      <c r="D26" s="623"/>
      <c r="E26" s="623"/>
      <c r="F26" s="623"/>
      <c r="G26" s="115"/>
      <c r="H26" s="115"/>
      <c r="I26" s="115"/>
      <c r="J26" s="115"/>
      <c r="K26" s="115"/>
      <c r="L26" s="115"/>
      <c r="M26" s="115"/>
      <c r="N26" s="115"/>
      <c r="O26" s="115"/>
      <c r="P26" s="115"/>
      <c r="Q26" s="115"/>
      <c r="R26" s="115"/>
      <c r="S26" s="115"/>
      <c r="T26" s="115"/>
      <c r="U26" s="115"/>
      <c r="V26" s="115"/>
      <c r="W26" s="115"/>
      <c r="X26" s="115"/>
      <c r="Y26" s="115"/>
      <c r="Z26" s="115"/>
    </row>
    <row r="27" spans="1:26" ht="15.75" customHeight="1" x14ac:dyDescent="0.25">
      <c r="A27" s="117"/>
      <c r="B27" s="12">
        <v>2004</v>
      </c>
      <c r="C27" s="12">
        <v>2005</v>
      </c>
      <c r="D27" s="12">
        <v>2006</v>
      </c>
      <c r="E27" s="12">
        <v>2008</v>
      </c>
      <c r="F27" s="12">
        <v>2009</v>
      </c>
      <c r="G27" s="12">
        <v>2010</v>
      </c>
      <c r="H27" s="12">
        <v>2011</v>
      </c>
      <c r="I27" s="12">
        <v>2012</v>
      </c>
      <c r="J27" s="12">
        <v>2013</v>
      </c>
      <c r="K27" s="10">
        <v>2014</v>
      </c>
      <c r="L27" s="115"/>
      <c r="M27" s="115"/>
      <c r="N27" s="115"/>
      <c r="O27" s="115"/>
      <c r="P27" s="115"/>
      <c r="Q27" s="115"/>
      <c r="R27" s="115"/>
      <c r="S27" s="115"/>
      <c r="T27" s="115"/>
      <c r="U27" s="115"/>
      <c r="V27" s="115"/>
      <c r="W27" s="115"/>
      <c r="X27" s="115"/>
      <c r="Y27" s="115"/>
      <c r="Z27" s="115"/>
    </row>
    <row r="28" spans="1:26" ht="12.75" customHeight="1" x14ac:dyDescent="0.2">
      <c r="A28" s="117" t="s">
        <v>442</v>
      </c>
      <c r="B28" s="117"/>
      <c r="C28" s="117"/>
      <c r="D28" s="117"/>
      <c r="E28" s="117"/>
      <c r="F28" s="117"/>
      <c r="G28" s="117"/>
      <c r="H28" s="117"/>
      <c r="I28" s="117"/>
      <c r="J28" s="120">
        <v>79.95</v>
      </c>
      <c r="K28" s="122">
        <v>91.3</v>
      </c>
      <c r="L28" s="115"/>
      <c r="M28" s="115"/>
      <c r="N28" s="115"/>
      <c r="O28" s="115"/>
      <c r="P28" s="115"/>
      <c r="Q28" s="115"/>
      <c r="R28" s="115"/>
      <c r="S28" s="115"/>
      <c r="T28" s="115"/>
      <c r="U28" s="115"/>
      <c r="V28" s="115"/>
      <c r="W28" s="115"/>
      <c r="X28" s="115"/>
      <c r="Y28" s="115"/>
      <c r="Z28" s="115"/>
    </row>
    <row r="29" spans="1:26" ht="12.75" customHeight="1" x14ac:dyDescent="0.2">
      <c r="A29" s="117" t="s">
        <v>443</v>
      </c>
      <c r="B29" s="117"/>
      <c r="C29" s="117"/>
      <c r="D29" s="117"/>
      <c r="E29" s="117"/>
      <c r="F29" s="117"/>
      <c r="G29" s="117"/>
      <c r="H29" s="117"/>
      <c r="I29" s="117"/>
      <c r="J29" s="120">
        <v>19.63</v>
      </c>
      <c r="K29" s="122">
        <v>7.2</v>
      </c>
      <c r="L29" s="115"/>
      <c r="M29" s="115"/>
      <c r="N29" s="115"/>
      <c r="O29" s="115"/>
      <c r="P29" s="115"/>
      <c r="Q29" s="115"/>
      <c r="R29" s="115"/>
      <c r="S29" s="115"/>
      <c r="T29" s="115"/>
      <c r="U29" s="115"/>
      <c r="V29" s="115"/>
      <c r="W29" s="115"/>
      <c r="X29" s="115"/>
      <c r="Y29" s="115"/>
      <c r="Z29" s="115"/>
    </row>
    <row r="30" spans="1:26" ht="12.75" customHeight="1" x14ac:dyDescent="0.2">
      <c r="A30" s="117" t="s">
        <v>445</v>
      </c>
      <c r="B30" s="117"/>
      <c r="C30" s="117"/>
      <c r="D30" s="117"/>
      <c r="E30" s="117"/>
      <c r="F30" s="117"/>
      <c r="G30" s="117"/>
      <c r="H30" s="117"/>
      <c r="I30" s="117"/>
      <c r="J30" s="120">
        <v>1.19</v>
      </c>
      <c r="K30" s="122">
        <v>1.6</v>
      </c>
      <c r="L30" s="115"/>
      <c r="M30" s="115"/>
      <c r="N30" s="115"/>
      <c r="O30" s="115"/>
      <c r="P30" s="115"/>
      <c r="Q30" s="115"/>
      <c r="R30" s="115"/>
      <c r="S30" s="115"/>
      <c r="T30" s="115"/>
      <c r="U30" s="115"/>
      <c r="V30" s="115"/>
      <c r="W30" s="115"/>
      <c r="X30" s="115"/>
      <c r="Y30" s="115"/>
      <c r="Z30" s="115"/>
    </row>
    <row r="31" spans="1:26" ht="12.75" customHeight="1" x14ac:dyDescent="0.2">
      <c r="A31" s="117" t="s">
        <v>110</v>
      </c>
      <c r="B31" s="117"/>
      <c r="C31" s="117"/>
      <c r="D31" s="117"/>
      <c r="E31" s="117"/>
      <c r="F31" s="117"/>
      <c r="G31" s="117"/>
      <c r="H31" s="117"/>
      <c r="I31" s="117"/>
      <c r="J31" s="120">
        <v>0</v>
      </c>
      <c r="K31" s="122">
        <v>0</v>
      </c>
      <c r="L31" s="115"/>
      <c r="M31" s="115"/>
      <c r="N31" s="115"/>
      <c r="O31" s="115"/>
      <c r="P31" s="115"/>
      <c r="Q31" s="115"/>
      <c r="R31" s="115"/>
      <c r="S31" s="115"/>
      <c r="T31" s="115"/>
      <c r="U31" s="115"/>
      <c r="V31" s="115"/>
      <c r="W31" s="115"/>
      <c r="X31" s="115"/>
      <c r="Y31" s="115"/>
      <c r="Z31" s="115"/>
    </row>
    <row r="32" spans="1:26" ht="12.75" customHeight="1" x14ac:dyDescent="0.2">
      <c r="A32" s="188" t="s">
        <v>42</v>
      </c>
      <c r="B32" s="188"/>
      <c r="C32" s="188"/>
      <c r="D32" s="188"/>
      <c r="E32" s="188"/>
      <c r="F32" s="188"/>
      <c r="G32" s="188"/>
      <c r="H32" s="188"/>
      <c r="I32" s="188"/>
      <c r="J32" s="190">
        <v>100.77</v>
      </c>
      <c r="K32" s="194">
        <f>K29+K30+K31+K28</f>
        <v>100.1</v>
      </c>
      <c r="L32" s="115"/>
      <c r="M32" s="115"/>
      <c r="N32" s="115"/>
      <c r="O32" s="115"/>
      <c r="P32" s="115"/>
      <c r="Q32" s="115"/>
      <c r="R32" s="115"/>
      <c r="S32" s="115"/>
      <c r="T32" s="115"/>
      <c r="U32" s="115"/>
      <c r="V32" s="115"/>
      <c r="W32" s="115"/>
      <c r="X32" s="115"/>
      <c r="Y32" s="115"/>
      <c r="Z32" s="115"/>
    </row>
    <row r="33" spans="1:26" ht="12.75" customHeight="1" x14ac:dyDescent="0.2">
      <c r="A33" s="195" t="s">
        <v>43</v>
      </c>
      <c r="B33" s="195"/>
      <c r="C33" s="195"/>
      <c r="D33" s="195"/>
      <c r="E33" s="195"/>
      <c r="F33" s="195"/>
      <c r="G33" s="195"/>
      <c r="H33" s="195"/>
      <c r="I33" s="195"/>
      <c r="J33" s="221">
        <v>6778.76</v>
      </c>
      <c r="K33" s="240">
        <v>8390.0899999999983</v>
      </c>
      <c r="L33" s="115"/>
      <c r="M33" s="115"/>
      <c r="N33" s="115"/>
      <c r="O33" s="115"/>
      <c r="P33" s="115"/>
      <c r="Q33" s="115"/>
      <c r="R33" s="115"/>
      <c r="S33" s="115"/>
      <c r="T33" s="115"/>
      <c r="U33" s="115"/>
      <c r="V33" s="115"/>
      <c r="W33" s="115"/>
      <c r="X33" s="115"/>
      <c r="Y33" s="115"/>
      <c r="Z33" s="115"/>
    </row>
    <row r="34" spans="1:26" ht="12.75" customHeight="1" x14ac:dyDescent="0.2">
      <c r="A34" s="115"/>
      <c r="B34" s="115"/>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row>
    <row r="35" spans="1:26" ht="12.75" customHeight="1" x14ac:dyDescent="0.2">
      <c r="A35" s="646" t="s">
        <v>424</v>
      </c>
      <c r="B35" s="623"/>
      <c r="C35" s="623"/>
      <c r="D35" s="623"/>
      <c r="E35" s="623"/>
      <c r="F35" s="623"/>
      <c r="G35" s="623"/>
      <c r="H35" s="623"/>
      <c r="I35" s="623"/>
      <c r="J35" s="623"/>
      <c r="K35" s="623"/>
      <c r="L35" s="115"/>
      <c r="M35" s="115"/>
      <c r="N35" s="115"/>
      <c r="O35" s="115"/>
      <c r="P35" s="115"/>
      <c r="Q35" s="115"/>
      <c r="R35" s="115"/>
      <c r="S35" s="115"/>
      <c r="T35" s="115"/>
      <c r="U35" s="115"/>
      <c r="V35" s="115"/>
      <c r="W35" s="115"/>
      <c r="X35" s="115"/>
      <c r="Y35" s="115"/>
      <c r="Z35" s="115"/>
    </row>
    <row r="36" spans="1:26" ht="12.75" customHeight="1" x14ac:dyDescent="0.2">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row>
    <row r="37" spans="1:26" ht="12.75" customHeight="1" x14ac:dyDescent="0.2">
      <c r="A37" s="648" t="s">
        <v>447</v>
      </c>
      <c r="B37" s="623"/>
      <c r="C37" s="623"/>
      <c r="D37" s="623"/>
      <c r="E37" s="623"/>
      <c r="F37" s="623"/>
      <c r="G37" s="115"/>
      <c r="H37" s="115"/>
      <c r="I37" s="115"/>
      <c r="J37" s="115"/>
      <c r="K37" s="115"/>
      <c r="L37" s="115"/>
      <c r="M37" s="115"/>
      <c r="N37" s="115"/>
      <c r="O37" s="115"/>
      <c r="P37" s="115"/>
      <c r="Q37" s="115"/>
      <c r="R37" s="115"/>
      <c r="S37" s="115"/>
      <c r="T37" s="115"/>
      <c r="U37" s="115"/>
      <c r="V37" s="115"/>
      <c r="W37" s="115"/>
      <c r="X37" s="115"/>
      <c r="Y37" s="115"/>
      <c r="Z37" s="115"/>
    </row>
    <row r="38" spans="1:26" ht="15.75" customHeight="1" x14ac:dyDescent="0.25">
      <c r="A38" s="117"/>
      <c r="B38" s="12">
        <v>2004</v>
      </c>
      <c r="C38" s="12">
        <v>2005</v>
      </c>
      <c r="D38" s="12">
        <v>2006</v>
      </c>
      <c r="E38" s="12">
        <v>2008</v>
      </c>
      <c r="F38" s="12">
        <v>2009</v>
      </c>
      <c r="G38" s="12">
        <v>2010</v>
      </c>
      <c r="H38" s="12">
        <v>2011</v>
      </c>
      <c r="I38" s="12">
        <v>2012</v>
      </c>
      <c r="J38" s="12">
        <v>2013</v>
      </c>
      <c r="K38" s="10">
        <v>2014</v>
      </c>
      <c r="L38" s="115"/>
      <c r="M38" s="115"/>
      <c r="N38" s="115"/>
      <c r="O38" s="115"/>
      <c r="P38" s="115"/>
      <c r="Q38" s="115"/>
      <c r="R38" s="115"/>
      <c r="S38" s="115"/>
      <c r="T38" s="115"/>
      <c r="U38" s="115"/>
      <c r="V38" s="115"/>
      <c r="W38" s="115"/>
      <c r="X38" s="115"/>
      <c r="Y38" s="115"/>
      <c r="Z38" s="115"/>
    </row>
    <row r="39" spans="1:26" ht="12.75" customHeight="1" x14ac:dyDescent="0.2">
      <c r="A39" s="117" t="s">
        <v>443</v>
      </c>
      <c r="B39" s="117"/>
      <c r="C39" s="117"/>
      <c r="D39" s="117"/>
      <c r="E39" s="117"/>
      <c r="F39" s="117"/>
      <c r="G39" s="117"/>
      <c r="H39" s="117"/>
      <c r="I39" s="117"/>
      <c r="J39" s="120">
        <v>72.63</v>
      </c>
      <c r="K39" s="122">
        <v>47.7</v>
      </c>
      <c r="L39" s="115"/>
      <c r="M39" s="115"/>
      <c r="N39" s="115"/>
      <c r="O39" s="115"/>
      <c r="P39" s="115"/>
      <c r="Q39" s="115"/>
      <c r="R39" s="115"/>
      <c r="S39" s="115"/>
      <c r="T39" s="115"/>
      <c r="U39" s="115"/>
      <c r="V39" s="115"/>
      <c r="W39" s="115"/>
      <c r="X39" s="115"/>
      <c r="Y39" s="115"/>
      <c r="Z39" s="115"/>
    </row>
    <row r="40" spans="1:26" ht="12.75" customHeight="1" x14ac:dyDescent="0.2">
      <c r="A40" s="117" t="s">
        <v>453</v>
      </c>
      <c r="B40" s="117"/>
      <c r="C40" s="117"/>
      <c r="D40" s="117"/>
      <c r="E40" s="117"/>
      <c r="F40" s="117"/>
      <c r="G40" s="117"/>
      <c r="H40" s="117"/>
      <c r="I40" s="117"/>
      <c r="J40" s="120">
        <v>22.43</v>
      </c>
      <c r="K40" s="122">
        <v>41.9</v>
      </c>
      <c r="L40" s="115"/>
      <c r="M40" s="115"/>
      <c r="N40" s="115"/>
      <c r="O40" s="115"/>
      <c r="P40" s="115"/>
      <c r="Q40" s="115"/>
      <c r="R40" s="115"/>
      <c r="S40" s="115"/>
      <c r="T40" s="115"/>
      <c r="U40" s="115"/>
      <c r="V40" s="115"/>
      <c r="W40" s="115"/>
      <c r="X40" s="115"/>
      <c r="Y40" s="115"/>
      <c r="Z40" s="115"/>
    </row>
    <row r="41" spans="1:26" ht="12.75" customHeight="1" x14ac:dyDescent="0.2">
      <c r="A41" s="117" t="s">
        <v>454</v>
      </c>
      <c r="B41" s="117"/>
      <c r="C41" s="117"/>
      <c r="D41" s="117"/>
      <c r="E41" s="117"/>
      <c r="F41" s="117"/>
      <c r="G41" s="117"/>
      <c r="H41" s="117"/>
      <c r="I41" s="117"/>
      <c r="J41" s="255"/>
      <c r="K41" s="122">
        <v>3.8</v>
      </c>
      <c r="L41" s="115"/>
      <c r="M41" s="115"/>
      <c r="N41" s="115"/>
      <c r="O41" s="115"/>
      <c r="P41" s="115"/>
      <c r="Q41" s="115"/>
      <c r="R41" s="115"/>
      <c r="S41" s="115"/>
      <c r="T41" s="115"/>
      <c r="U41" s="115"/>
      <c r="V41" s="115"/>
      <c r="W41" s="115"/>
      <c r="X41" s="115"/>
      <c r="Y41" s="115"/>
      <c r="Z41" s="115"/>
    </row>
    <row r="42" spans="1:26" ht="12.75" customHeight="1" x14ac:dyDescent="0.2">
      <c r="A42" s="117" t="s">
        <v>455</v>
      </c>
      <c r="B42" s="117"/>
      <c r="C42" s="117"/>
      <c r="D42" s="117"/>
      <c r="E42" s="117"/>
      <c r="F42" s="117"/>
      <c r="G42" s="117"/>
      <c r="H42" s="117"/>
      <c r="I42" s="117"/>
      <c r="J42" s="120">
        <v>0.28000000000000003</v>
      </c>
      <c r="K42" s="122">
        <v>3</v>
      </c>
      <c r="L42" s="115"/>
      <c r="M42" s="115"/>
      <c r="N42" s="115"/>
      <c r="O42" s="115"/>
      <c r="P42" s="115"/>
      <c r="Q42" s="115"/>
      <c r="R42" s="115"/>
      <c r="S42" s="115"/>
      <c r="T42" s="115"/>
      <c r="U42" s="115"/>
      <c r="V42" s="115"/>
      <c r="W42" s="115"/>
      <c r="X42" s="115"/>
      <c r="Y42" s="115"/>
      <c r="Z42" s="115"/>
    </row>
    <row r="43" spans="1:26" ht="15" customHeight="1" x14ac:dyDescent="0.2">
      <c r="A43" s="117" t="s">
        <v>442</v>
      </c>
      <c r="B43" s="117"/>
      <c r="C43" s="117"/>
      <c r="D43" s="117"/>
      <c r="E43" s="117"/>
      <c r="F43" s="117"/>
      <c r="G43" s="117"/>
      <c r="H43" s="117"/>
      <c r="I43" s="117"/>
      <c r="J43" s="120">
        <v>0.28000000000000003</v>
      </c>
      <c r="K43" s="122">
        <v>1.7</v>
      </c>
      <c r="L43" s="115"/>
      <c r="M43" s="115"/>
      <c r="N43" s="115"/>
      <c r="O43" s="115"/>
      <c r="P43" s="115"/>
      <c r="Q43" s="115"/>
      <c r="R43" s="115"/>
      <c r="S43" s="115"/>
      <c r="T43" s="115"/>
      <c r="U43" s="115"/>
      <c r="V43" s="115"/>
      <c r="W43" s="115"/>
      <c r="X43" s="115"/>
      <c r="Y43" s="115"/>
      <c r="Z43" s="115"/>
    </row>
    <row r="44" spans="1:26" ht="12.75" customHeight="1" x14ac:dyDescent="0.2">
      <c r="A44" s="117" t="s">
        <v>457</v>
      </c>
      <c r="B44" s="117"/>
      <c r="C44" s="117"/>
      <c r="D44" s="117"/>
      <c r="E44" s="117"/>
      <c r="F44" s="117"/>
      <c r="G44" s="117"/>
      <c r="H44" s="117"/>
      <c r="I44" s="117"/>
      <c r="J44" s="120">
        <v>4.17</v>
      </c>
      <c r="K44" s="122">
        <v>1.2</v>
      </c>
      <c r="L44" s="115"/>
      <c r="M44" s="115"/>
      <c r="N44" s="115"/>
      <c r="O44" s="115"/>
      <c r="P44" s="115"/>
      <c r="Q44" s="115"/>
      <c r="R44" s="115"/>
      <c r="S44" s="115"/>
      <c r="T44" s="115"/>
      <c r="U44" s="115"/>
      <c r="V44" s="115"/>
      <c r="W44" s="115"/>
      <c r="X44" s="115"/>
      <c r="Y44" s="115"/>
      <c r="Z44" s="115"/>
    </row>
    <row r="45" spans="1:26" ht="12.75" customHeight="1" x14ac:dyDescent="0.2">
      <c r="A45" s="117" t="s">
        <v>458</v>
      </c>
      <c r="B45" s="117"/>
      <c r="C45" s="117"/>
      <c r="D45" s="117"/>
      <c r="E45" s="117"/>
      <c r="F45" s="117"/>
      <c r="G45" s="117"/>
      <c r="H45" s="117"/>
      <c r="I45" s="117"/>
      <c r="J45" s="256"/>
      <c r="K45" s="122">
        <v>0.6</v>
      </c>
      <c r="L45" s="115"/>
      <c r="M45" s="115"/>
      <c r="N45" s="115"/>
      <c r="O45" s="115"/>
      <c r="P45" s="115"/>
      <c r="Q45" s="115"/>
      <c r="R45" s="115"/>
      <c r="S45" s="115"/>
      <c r="T45" s="115"/>
      <c r="U45" s="115"/>
      <c r="V45" s="115"/>
      <c r="W45" s="115"/>
      <c r="X45" s="115"/>
      <c r="Y45" s="115"/>
      <c r="Z45" s="115"/>
    </row>
    <row r="46" spans="1:26" ht="12.75" customHeight="1" x14ac:dyDescent="0.2">
      <c r="A46" s="117" t="s">
        <v>110</v>
      </c>
      <c r="B46" s="117"/>
      <c r="C46" s="117"/>
      <c r="D46" s="117"/>
      <c r="E46" s="117"/>
      <c r="F46" s="117"/>
      <c r="G46" s="117"/>
      <c r="H46" s="117"/>
      <c r="I46" s="117"/>
      <c r="J46" s="120">
        <v>0.21</v>
      </c>
      <c r="K46" s="122">
        <v>0.1</v>
      </c>
      <c r="L46" s="115"/>
      <c r="M46" s="115"/>
      <c r="N46" s="115"/>
      <c r="O46" s="115"/>
      <c r="P46" s="115"/>
      <c r="Q46" s="115"/>
      <c r="R46" s="115"/>
      <c r="S46" s="115"/>
      <c r="T46" s="115"/>
      <c r="U46" s="115"/>
      <c r="V46" s="115"/>
      <c r="W46" s="115"/>
      <c r="X46" s="115"/>
      <c r="Y46" s="115"/>
      <c r="Z46" s="115"/>
    </row>
    <row r="47" spans="1:26" ht="12.75" customHeight="1" x14ac:dyDescent="0.2">
      <c r="A47" s="188" t="s">
        <v>42</v>
      </c>
      <c r="B47" s="188"/>
      <c r="C47" s="188"/>
      <c r="D47" s="188"/>
      <c r="E47" s="188"/>
      <c r="F47" s="188"/>
      <c r="G47" s="188"/>
      <c r="H47" s="188"/>
      <c r="I47" s="188"/>
      <c r="J47" s="190">
        <v>99.51</v>
      </c>
      <c r="K47" s="194">
        <f>K39+K40+K41+K42</f>
        <v>96.399999999999991</v>
      </c>
      <c r="L47" s="115"/>
      <c r="M47" s="115"/>
      <c r="N47" s="115"/>
      <c r="O47" s="115"/>
      <c r="P47" s="115"/>
      <c r="Q47" s="115"/>
      <c r="R47" s="115"/>
      <c r="S47" s="115"/>
      <c r="T47" s="115"/>
      <c r="U47" s="115"/>
      <c r="V47" s="115"/>
      <c r="W47" s="115"/>
      <c r="X47" s="115"/>
      <c r="Y47" s="115"/>
      <c r="Z47" s="115"/>
    </row>
    <row r="48" spans="1:26" ht="12.75" customHeight="1" x14ac:dyDescent="0.2">
      <c r="A48" s="195" t="s">
        <v>43</v>
      </c>
      <c r="B48" s="195"/>
      <c r="C48" s="195"/>
      <c r="D48" s="195"/>
      <c r="E48" s="195"/>
      <c r="F48" s="195"/>
      <c r="G48" s="195"/>
      <c r="H48" s="195"/>
      <c r="I48" s="195"/>
      <c r="J48" s="221">
        <v>5795.69</v>
      </c>
      <c r="K48" s="240">
        <v>4059.0300000000007</v>
      </c>
      <c r="L48" s="115"/>
      <c r="M48" s="115"/>
      <c r="N48" s="115"/>
      <c r="O48" s="115"/>
      <c r="P48" s="115"/>
      <c r="Q48" s="115"/>
      <c r="R48" s="115"/>
      <c r="S48" s="115"/>
      <c r="T48" s="115"/>
      <c r="U48" s="115"/>
      <c r="V48" s="115"/>
      <c r="W48" s="115"/>
      <c r="X48" s="115"/>
      <c r="Y48" s="115"/>
      <c r="Z48" s="115"/>
    </row>
    <row r="49" spans="1:26" ht="12.75" customHeight="1" x14ac:dyDescent="0.2">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row>
    <row r="50" spans="1:26" ht="12.75" customHeight="1" x14ac:dyDescent="0.2">
      <c r="A50" s="646" t="s">
        <v>424</v>
      </c>
      <c r="B50" s="623"/>
      <c r="C50" s="623"/>
      <c r="D50" s="623"/>
      <c r="E50" s="623"/>
      <c r="F50" s="623"/>
      <c r="G50" s="623"/>
      <c r="H50" s="623"/>
      <c r="I50" s="623"/>
      <c r="J50" s="623"/>
      <c r="K50" s="623"/>
      <c r="L50" s="115"/>
      <c r="M50" s="115"/>
      <c r="N50" s="115"/>
      <c r="O50" s="115"/>
      <c r="P50" s="115"/>
      <c r="Q50" s="115"/>
      <c r="R50" s="115"/>
      <c r="S50" s="115"/>
      <c r="T50" s="115"/>
      <c r="U50" s="115"/>
      <c r="V50" s="115"/>
      <c r="W50" s="115"/>
      <c r="X50" s="115"/>
      <c r="Y50" s="115"/>
      <c r="Z50" s="115"/>
    </row>
    <row r="51" spans="1:26" ht="12.75" customHeight="1" x14ac:dyDescent="0.2">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1:26" ht="12.75" customHeight="1" x14ac:dyDescent="0.2">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1:26" ht="28.5" customHeight="1" x14ac:dyDescent="0.2">
      <c r="A53" s="647" t="s">
        <v>463</v>
      </c>
      <c r="B53" s="623"/>
      <c r="C53" s="623"/>
      <c r="D53" s="115"/>
      <c r="E53" s="115"/>
      <c r="F53" s="115"/>
      <c r="G53" s="115"/>
      <c r="H53" s="115"/>
      <c r="I53" s="115"/>
      <c r="J53" s="115"/>
      <c r="K53" s="115"/>
      <c r="L53" s="115"/>
      <c r="M53" s="115"/>
      <c r="N53" s="115"/>
      <c r="O53" s="115"/>
      <c r="P53" s="115"/>
      <c r="Q53" s="115"/>
      <c r="R53" s="115"/>
      <c r="S53" s="115"/>
      <c r="T53" s="115"/>
      <c r="U53" s="115"/>
      <c r="V53" s="115"/>
      <c r="W53" s="115"/>
      <c r="X53" s="115"/>
      <c r="Y53" s="115"/>
      <c r="Z53" s="115"/>
    </row>
    <row r="54" spans="1:26" ht="12.75" customHeight="1" x14ac:dyDescent="0.2">
      <c r="A54" s="261"/>
      <c r="B54" s="263" t="s">
        <v>464</v>
      </c>
      <c r="C54" s="265" t="s">
        <v>466</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row>
    <row r="55" spans="1:26" ht="12.75" customHeight="1" x14ac:dyDescent="0.2">
      <c r="A55" s="268" t="s">
        <v>103</v>
      </c>
      <c r="B55" s="268">
        <v>1896.5</v>
      </c>
      <c r="C55" s="268">
        <v>50</v>
      </c>
      <c r="D55" s="115"/>
      <c r="E55" s="115"/>
      <c r="F55" s="115"/>
      <c r="G55" s="115"/>
      <c r="H55" s="115"/>
      <c r="I55" s="115"/>
      <c r="J55" s="115"/>
      <c r="K55" s="115"/>
      <c r="L55" s="115"/>
      <c r="M55" s="115"/>
      <c r="N55" s="115"/>
      <c r="O55" s="115"/>
      <c r="P55" s="115"/>
      <c r="Q55" s="115"/>
      <c r="R55" s="115"/>
      <c r="S55" s="115"/>
      <c r="T55" s="115"/>
      <c r="U55" s="115"/>
      <c r="V55" s="115"/>
      <c r="W55" s="115"/>
      <c r="X55" s="115"/>
      <c r="Y55" s="115"/>
      <c r="Z55" s="115"/>
    </row>
    <row r="56" spans="1:26" ht="12.75" customHeight="1" x14ac:dyDescent="0.2">
      <c r="A56" s="268" t="s">
        <v>109</v>
      </c>
      <c r="B56" s="268">
        <v>535</v>
      </c>
      <c r="C56" s="268">
        <v>14.1</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row>
    <row r="57" spans="1:26" ht="12.75" customHeight="1" x14ac:dyDescent="0.2">
      <c r="A57" s="268" t="s">
        <v>462</v>
      </c>
      <c r="B57" s="268">
        <v>126</v>
      </c>
      <c r="C57" s="268">
        <v>3.3</v>
      </c>
      <c r="D57" s="115"/>
      <c r="E57" s="115"/>
      <c r="F57" s="115"/>
      <c r="G57" s="115"/>
      <c r="H57" s="115"/>
      <c r="I57" s="115"/>
      <c r="J57" s="115"/>
      <c r="K57" s="115"/>
      <c r="L57" s="115"/>
      <c r="M57" s="115"/>
      <c r="N57" s="115"/>
      <c r="O57" s="115"/>
      <c r="P57" s="115"/>
      <c r="Q57" s="115"/>
      <c r="R57" s="115"/>
      <c r="S57" s="115"/>
      <c r="T57" s="115"/>
      <c r="U57" s="115"/>
      <c r="V57" s="115"/>
      <c r="W57" s="115"/>
      <c r="X57" s="115"/>
      <c r="Y57" s="115"/>
      <c r="Z57" s="115"/>
    </row>
    <row r="58" spans="1:26" ht="12.75" customHeight="1" x14ac:dyDescent="0.2">
      <c r="A58" s="268" t="s">
        <v>470</v>
      </c>
      <c r="B58" s="268">
        <v>88</v>
      </c>
      <c r="C58" s="268">
        <v>2.2999999999999998</v>
      </c>
      <c r="D58" s="115"/>
      <c r="E58" s="115"/>
      <c r="F58" s="115"/>
      <c r="G58" s="115"/>
      <c r="H58" s="115"/>
      <c r="I58" s="115"/>
      <c r="J58" s="115"/>
      <c r="K58" s="115"/>
      <c r="L58" s="115"/>
      <c r="M58" s="115"/>
      <c r="N58" s="115"/>
      <c r="O58" s="115"/>
      <c r="P58" s="115"/>
      <c r="Q58" s="115"/>
      <c r="R58" s="115"/>
      <c r="S58" s="115"/>
      <c r="T58" s="115"/>
      <c r="U58" s="115"/>
      <c r="V58" s="115"/>
      <c r="W58" s="115"/>
      <c r="X58" s="115"/>
      <c r="Y58" s="115"/>
      <c r="Z58" s="115"/>
    </row>
    <row r="59" spans="1:26" ht="12.75" customHeight="1" x14ac:dyDescent="0.2">
      <c r="A59" s="268" t="s">
        <v>90</v>
      </c>
      <c r="B59" s="268">
        <v>82.7</v>
      </c>
      <c r="C59" s="268">
        <v>2.2000000000000002</v>
      </c>
      <c r="D59" s="115"/>
      <c r="E59" s="115"/>
      <c r="F59" s="115"/>
      <c r="G59" s="115"/>
      <c r="H59" s="115"/>
      <c r="I59" s="115"/>
      <c r="J59" s="115"/>
      <c r="K59" s="115"/>
      <c r="L59" s="115"/>
      <c r="M59" s="115"/>
      <c r="N59" s="115"/>
      <c r="O59" s="115"/>
      <c r="P59" s="115"/>
      <c r="Q59" s="115"/>
      <c r="R59" s="115"/>
      <c r="S59" s="115"/>
      <c r="T59" s="115"/>
      <c r="U59" s="115"/>
      <c r="V59" s="115"/>
      <c r="W59" s="115"/>
      <c r="X59" s="115"/>
      <c r="Y59" s="115"/>
      <c r="Z59" s="115"/>
    </row>
    <row r="60" spans="1:26" ht="12.75" customHeight="1" x14ac:dyDescent="0.2">
      <c r="A60" s="268" t="s">
        <v>471</v>
      </c>
      <c r="B60" s="268">
        <v>32.64</v>
      </c>
      <c r="C60" s="268">
        <v>0.9</v>
      </c>
      <c r="D60" s="115"/>
      <c r="E60" s="115"/>
      <c r="F60" s="115"/>
      <c r="G60" s="115"/>
      <c r="H60" s="115"/>
      <c r="I60" s="115"/>
      <c r="J60" s="115"/>
      <c r="K60" s="115"/>
      <c r="L60" s="115"/>
      <c r="M60" s="115"/>
      <c r="N60" s="115"/>
      <c r="O60" s="115"/>
      <c r="P60" s="115"/>
      <c r="Q60" s="115"/>
      <c r="R60" s="115"/>
      <c r="S60" s="115"/>
      <c r="T60" s="115"/>
      <c r="U60" s="115"/>
      <c r="V60" s="115"/>
      <c r="W60" s="115"/>
      <c r="X60" s="115"/>
      <c r="Y60" s="115"/>
      <c r="Z60" s="115"/>
    </row>
    <row r="61" spans="1:26" ht="12.75" customHeight="1" x14ac:dyDescent="0.2">
      <c r="A61" s="268" t="s">
        <v>192</v>
      </c>
      <c r="B61" s="268">
        <v>24.7</v>
      </c>
      <c r="C61" s="268">
        <v>0.7</v>
      </c>
      <c r="D61" s="115"/>
      <c r="E61" s="115"/>
      <c r="F61" s="115"/>
      <c r="G61" s="115"/>
      <c r="H61" s="115"/>
      <c r="I61" s="115"/>
      <c r="J61" s="115"/>
      <c r="K61" s="115"/>
      <c r="L61" s="115"/>
      <c r="M61" s="115"/>
      <c r="N61" s="115"/>
      <c r="O61" s="115"/>
      <c r="P61" s="115"/>
      <c r="Q61" s="115"/>
      <c r="R61" s="115"/>
      <c r="S61" s="115"/>
      <c r="T61" s="115"/>
      <c r="U61" s="115"/>
      <c r="V61" s="115"/>
      <c r="W61" s="115"/>
      <c r="X61" s="115"/>
      <c r="Y61" s="115"/>
      <c r="Z61" s="115"/>
    </row>
    <row r="62" spans="1:26" ht="12.75" customHeight="1" x14ac:dyDescent="0.2">
      <c r="A62" s="268" t="s">
        <v>17</v>
      </c>
      <c r="B62" s="268">
        <v>20.100000000000001</v>
      </c>
      <c r="C62" s="268">
        <v>0.5</v>
      </c>
      <c r="D62" s="115"/>
      <c r="E62" s="115"/>
      <c r="F62" s="115"/>
      <c r="G62" s="115"/>
      <c r="H62" s="115"/>
      <c r="I62" s="115"/>
      <c r="J62" s="115"/>
      <c r="K62" s="115"/>
      <c r="L62" s="115"/>
      <c r="M62" s="115"/>
      <c r="N62" s="115"/>
      <c r="O62" s="115"/>
      <c r="P62" s="115"/>
      <c r="Q62" s="115"/>
      <c r="R62" s="115"/>
      <c r="S62" s="115"/>
      <c r="T62" s="115"/>
      <c r="U62" s="115"/>
      <c r="V62" s="115"/>
      <c r="W62" s="115"/>
      <c r="X62" s="115"/>
      <c r="Y62" s="115"/>
      <c r="Z62" s="115"/>
    </row>
    <row r="63" spans="1:26" ht="12.75" customHeight="1" x14ac:dyDescent="0.2">
      <c r="A63" s="278" t="s">
        <v>472</v>
      </c>
      <c r="B63" s="278">
        <v>3793</v>
      </c>
      <c r="C63" s="279"/>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ht="12.75" customHeight="1" x14ac:dyDescent="0.2">
      <c r="A64" s="268" t="s">
        <v>42</v>
      </c>
      <c r="B64" s="268">
        <v>69.7</v>
      </c>
      <c r="C64" s="261"/>
      <c r="D64" s="115"/>
      <c r="E64" s="115"/>
      <c r="F64" s="115"/>
      <c r="G64" s="115"/>
      <c r="H64" s="115"/>
      <c r="I64" s="115"/>
      <c r="J64" s="115"/>
      <c r="K64" s="115"/>
      <c r="L64" s="115"/>
      <c r="M64" s="115"/>
      <c r="N64" s="115"/>
      <c r="O64" s="115"/>
      <c r="P64" s="115"/>
      <c r="Q64" s="115"/>
      <c r="R64" s="115"/>
      <c r="S64" s="115"/>
      <c r="T64" s="115"/>
      <c r="U64" s="115"/>
      <c r="V64" s="115"/>
      <c r="W64" s="115"/>
      <c r="X64" s="115"/>
      <c r="Y64" s="115"/>
      <c r="Z64" s="115"/>
    </row>
    <row r="65" spans="1:26" ht="12.75" customHeight="1" x14ac:dyDescent="0.2">
      <c r="A65" s="268" t="s">
        <v>43</v>
      </c>
      <c r="B65" s="268">
        <v>2721.6</v>
      </c>
      <c r="C65" s="261"/>
      <c r="D65" s="115"/>
      <c r="E65" s="115"/>
      <c r="F65" s="115"/>
      <c r="G65" s="115"/>
      <c r="H65" s="115"/>
      <c r="I65" s="115"/>
      <c r="J65" s="115"/>
      <c r="K65" s="115"/>
      <c r="L65" s="115"/>
      <c r="M65" s="115"/>
      <c r="N65" s="115"/>
      <c r="O65" s="115"/>
      <c r="P65" s="115"/>
      <c r="Q65" s="115"/>
      <c r="R65" s="115"/>
      <c r="S65" s="115"/>
      <c r="T65" s="115"/>
      <c r="U65" s="115"/>
      <c r="V65" s="115"/>
      <c r="W65" s="115"/>
      <c r="X65" s="115"/>
      <c r="Y65" s="115"/>
      <c r="Z65" s="115"/>
    </row>
    <row r="66" spans="1:26" ht="12.75" customHeight="1" x14ac:dyDescent="0.2">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row>
    <row r="67" spans="1:26" ht="12.75" customHeight="1" x14ac:dyDescent="0.2">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row>
    <row r="68" spans="1:26" ht="12.75" customHeight="1" x14ac:dyDescent="0.2">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row>
    <row r="69" spans="1:26" ht="12.75" customHeight="1" x14ac:dyDescent="0.2">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row>
    <row r="70" spans="1:26" ht="12.75" customHeight="1" x14ac:dyDescent="0.2">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row>
    <row r="71" spans="1:26" ht="12.75" customHeight="1" x14ac:dyDescent="0.2">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row>
    <row r="72" spans="1:26" ht="12.75" customHeight="1" x14ac:dyDescent="0.2">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row>
    <row r="73" spans="1:26" ht="12.75" customHeight="1" x14ac:dyDescent="0.2">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row>
    <row r="74" spans="1:26" ht="12.75" customHeight="1" x14ac:dyDescent="0.2">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ht="12.75" customHeight="1"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row>
    <row r="76" spans="1:26" ht="12.75" customHeight="1" x14ac:dyDescent="0.2">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row>
    <row r="77" spans="1:26" ht="12.75" customHeight="1" x14ac:dyDescent="0.2">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row>
    <row r="78" spans="1:26" ht="12.75" customHeight="1" x14ac:dyDescent="0.2">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ht="12.75" customHeight="1" x14ac:dyDescent="0.2">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row>
    <row r="80" spans="1:26" ht="12.75" customHeight="1" x14ac:dyDescent="0.2">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row>
    <row r="81" spans="1:26" ht="12.75" customHeight="1"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ht="12.75" customHeight="1" x14ac:dyDescent="0.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ht="12.75" customHeight="1" x14ac:dyDescent="0.2">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row>
    <row r="84" spans="1:26" ht="12.75" customHeight="1" x14ac:dyDescent="0.2">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ht="12.75" customHeight="1"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ht="12.75" customHeight="1"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ht="12.75" customHeight="1"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ht="12.75" customHeight="1"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ht="12.75" customHeight="1"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ht="12.75" customHeight="1" x14ac:dyDescent="0.2">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ht="12.75"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ht="12.75"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ht="12.75" customHeight="1" x14ac:dyDescent="0.2">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ht="12.75" customHeight="1"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ht="12.75" customHeight="1" x14ac:dyDescent="0.2">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ht="12.75" customHeight="1" x14ac:dyDescent="0.2">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ht="12.75" customHeight="1" x14ac:dyDescent="0.2">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ht="12.75" customHeight="1" x14ac:dyDescent="0.2">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ht="12.75" customHeight="1" x14ac:dyDescent="0.2">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ht="12.75" customHeight="1" x14ac:dyDescent="0.2">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ht="12.75" customHeight="1" x14ac:dyDescent="0.2">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ht="12.75" customHeight="1" x14ac:dyDescent="0.2">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ht="12.75" customHeight="1" x14ac:dyDescent="0.2">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ht="12.75" customHeight="1" x14ac:dyDescent="0.2">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ht="12.75" customHeight="1" x14ac:dyDescent="0.2">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ht="12.75" customHeight="1" x14ac:dyDescent="0.2">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ht="12.75" customHeight="1" x14ac:dyDescent="0.2">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ht="12.75" customHeight="1" x14ac:dyDescent="0.2">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ht="12.75" customHeight="1" x14ac:dyDescent="0.2">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ht="12.75" customHeight="1" x14ac:dyDescent="0.2">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ht="12.75" customHeight="1" x14ac:dyDescent="0.2">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ht="12.75" customHeight="1" x14ac:dyDescent="0.2">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ht="12.75" customHeight="1" x14ac:dyDescent="0.2">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ht="12.75" customHeight="1" x14ac:dyDescent="0.2">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ht="12.75" customHeight="1" x14ac:dyDescent="0.2">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ht="12.75" customHeight="1" x14ac:dyDescent="0.2">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ht="12.75" customHeight="1" x14ac:dyDescent="0.2">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ht="12.75" customHeight="1" x14ac:dyDescent="0.2">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ht="12.75" customHeight="1" x14ac:dyDescent="0.2">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ht="12.75" customHeight="1" x14ac:dyDescent="0.2">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ht="12.75" customHeight="1" x14ac:dyDescent="0.2">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ht="12.75" customHeight="1" x14ac:dyDescent="0.2">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ht="12.75" customHeight="1" x14ac:dyDescent="0.2">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ht="12.75" customHeight="1" x14ac:dyDescent="0.2">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ht="12.75" customHeight="1" x14ac:dyDescent="0.2">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ht="12.75" customHeight="1" x14ac:dyDescent="0.2">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ht="12.75" customHeight="1" x14ac:dyDescent="0.2">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ht="12.75" customHeight="1" x14ac:dyDescent="0.2">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ht="12.75" customHeight="1" x14ac:dyDescent="0.2">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ht="12.75" customHeight="1" x14ac:dyDescent="0.2">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ht="12.75" customHeight="1" x14ac:dyDescent="0.2">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ht="12.75" customHeight="1" x14ac:dyDescent="0.2">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ht="12.75" customHeight="1" x14ac:dyDescent="0.2">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ht="12.75" customHeight="1" x14ac:dyDescent="0.2">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ht="12.75" customHeight="1" x14ac:dyDescent="0.2">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ht="12.75" customHeight="1" x14ac:dyDescent="0.2">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ht="12.75" customHeight="1" x14ac:dyDescent="0.2">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ht="12.75" customHeight="1" x14ac:dyDescent="0.2">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ht="12.75" customHeight="1" x14ac:dyDescent="0.2">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ht="12.75" customHeight="1" x14ac:dyDescent="0.2">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ht="12.75" customHeight="1" x14ac:dyDescent="0.2">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ht="12.75" customHeight="1" x14ac:dyDescent="0.2">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ht="12.75" customHeight="1" x14ac:dyDescent="0.2">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ht="12.75" customHeight="1" x14ac:dyDescent="0.2">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ht="12.75" customHeight="1" x14ac:dyDescent="0.2">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ht="12.75" customHeight="1" x14ac:dyDescent="0.2">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ht="12.75" customHeight="1" x14ac:dyDescent="0.2">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ht="12.75" customHeight="1" x14ac:dyDescent="0.2">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ht="12.75" customHeight="1" x14ac:dyDescent="0.2">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ht="12.75" customHeight="1" x14ac:dyDescent="0.2">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ht="12.75" customHeight="1" x14ac:dyDescent="0.2">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ht="12.75" customHeight="1" x14ac:dyDescent="0.2">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ht="12.75" customHeight="1" x14ac:dyDescent="0.2">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ht="12.75" customHeight="1" x14ac:dyDescent="0.2">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ht="12.75" customHeight="1" x14ac:dyDescent="0.2">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ht="12.75" customHeight="1" x14ac:dyDescent="0.2">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ht="12.75" customHeight="1" x14ac:dyDescent="0.2">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ht="12.75" customHeight="1" x14ac:dyDescent="0.2">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ht="12.75" customHeight="1" x14ac:dyDescent="0.2">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ht="12.75" customHeight="1" x14ac:dyDescent="0.2">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ht="12.75" customHeight="1" x14ac:dyDescent="0.2">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ht="12.75" customHeight="1" x14ac:dyDescent="0.2">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ht="12.75" customHeight="1" x14ac:dyDescent="0.2">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ht="12.75" customHeight="1" x14ac:dyDescent="0.2">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ht="12.75" customHeight="1" x14ac:dyDescent="0.2">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ht="12.75" customHeight="1" x14ac:dyDescent="0.2">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ht="12.75" customHeight="1" x14ac:dyDescent="0.2">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ht="12.75" customHeight="1" x14ac:dyDescent="0.2">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ht="12.75" customHeight="1" x14ac:dyDescent="0.2">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ht="12.75" customHeight="1" x14ac:dyDescent="0.2">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ht="12.75" customHeight="1" x14ac:dyDescent="0.2">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ht="12.75" customHeight="1" x14ac:dyDescent="0.2">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ht="12.75" customHeight="1" x14ac:dyDescent="0.2">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ht="12.75" customHeight="1" x14ac:dyDescent="0.2">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ht="12.75" customHeight="1" x14ac:dyDescent="0.2">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ht="12.75" customHeight="1" x14ac:dyDescent="0.2">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ht="12.75" customHeight="1" x14ac:dyDescent="0.2">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ht="12.75" customHeight="1" x14ac:dyDescent="0.2">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ht="12.75" customHeight="1" x14ac:dyDescent="0.2">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ht="12.75" customHeight="1" x14ac:dyDescent="0.2">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ht="12.75" customHeight="1" x14ac:dyDescent="0.2">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ht="12.75" customHeight="1" x14ac:dyDescent="0.2">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ht="12.75" customHeight="1" x14ac:dyDescent="0.2">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ht="12.75" customHeight="1" x14ac:dyDescent="0.2">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ht="12.75" customHeight="1" x14ac:dyDescent="0.2">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ht="12.75" customHeight="1" x14ac:dyDescent="0.2">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ht="12.75" customHeight="1" x14ac:dyDescent="0.2">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ht="12.75" customHeight="1" x14ac:dyDescent="0.2">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ht="12.75" customHeight="1" x14ac:dyDescent="0.2">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ht="12.75" customHeight="1" x14ac:dyDescent="0.2">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ht="12.75" customHeight="1" x14ac:dyDescent="0.2">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ht="12.75" customHeight="1" x14ac:dyDescent="0.2">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ht="12.75" customHeight="1" x14ac:dyDescent="0.2">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ht="12.75" customHeight="1" x14ac:dyDescent="0.2">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ht="12.75" customHeight="1" x14ac:dyDescent="0.2">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ht="12.75" customHeight="1" x14ac:dyDescent="0.2">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ht="12.75" customHeight="1" x14ac:dyDescent="0.2">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ht="12.75" customHeight="1" x14ac:dyDescent="0.2">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ht="12.75" customHeight="1" x14ac:dyDescent="0.2">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ht="12.75" customHeight="1" x14ac:dyDescent="0.2">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ht="12.75" customHeight="1" x14ac:dyDescent="0.2">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ht="12.75" customHeight="1" x14ac:dyDescent="0.2">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ht="12.75" customHeight="1" x14ac:dyDescent="0.2">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ht="12.75" customHeight="1" x14ac:dyDescent="0.2">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ht="12.75" customHeight="1" x14ac:dyDescent="0.2">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ht="12.75" customHeight="1" x14ac:dyDescent="0.2">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ht="12.75" customHeight="1" x14ac:dyDescent="0.2">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ht="12.75" customHeight="1" x14ac:dyDescent="0.2">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ht="12.75" customHeight="1" x14ac:dyDescent="0.2">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ht="12.75" customHeight="1" x14ac:dyDescent="0.2">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ht="12.75" customHeight="1" x14ac:dyDescent="0.2">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12.75" customHeight="1" x14ac:dyDescent="0.2">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12.75" customHeight="1" x14ac:dyDescent="0.2">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12.75" customHeight="1" x14ac:dyDescent="0.2">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12.75" customHeight="1" x14ac:dyDescent="0.2">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12.75" customHeight="1" x14ac:dyDescent="0.2">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12.75" customHeight="1" x14ac:dyDescent="0.2">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12.75" customHeight="1" x14ac:dyDescent="0.2">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12.75" customHeight="1" x14ac:dyDescent="0.2">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12.75" customHeight="1" x14ac:dyDescent="0.2">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12.75" customHeight="1" x14ac:dyDescent="0.2">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12.75" customHeight="1" x14ac:dyDescent="0.2">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12.75" customHeight="1" x14ac:dyDescent="0.2">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12.75" customHeight="1" x14ac:dyDescent="0.2">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12.75" customHeight="1" x14ac:dyDescent="0.2">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12.75" customHeight="1" x14ac:dyDescent="0.2">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12.75" customHeight="1" x14ac:dyDescent="0.2">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12.75" customHeight="1" x14ac:dyDescent="0.2">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12.75" customHeight="1" x14ac:dyDescent="0.2">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12.75" customHeight="1" x14ac:dyDescent="0.2">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12.75" customHeight="1" x14ac:dyDescent="0.2">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12.75" customHeight="1" x14ac:dyDescent="0.2">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12.75" customHeight="1" x14ac:dyDescent="0.2">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12.75" customHeight="1" x14ac:dyDescent="0.2">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12.75" customHeight="1" x14ac:dyDescent="0.2">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12.75" customHeight="1" x14ac:dyDescent="0.2">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12.75" customHeight="1" x14ac:dyDescent="0.2">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12.75" customHeight="1" x14ac:dyDescent="0.2">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12.75" customHeight="1" x14ac:dyDescent="0.2">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12.75" customHeight="1" x14ac:dyDescent="0.2">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12.75" customHeight="1" x14ac:dyDescent="0.2">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12.75" customHeight="1" x14ac:dyDescent="0.2">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12.75" customHeight="1" x14ac:dyDescent="0.2">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12.75" customHeight="1" x14ac:dyDescent="0.2">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12.75" customHeight="1" x14ac:dyDescent="0.2">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12.75" customHeight="1" x14ac:dyDescent="0.2">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12.75" customHeight="1" x14ac:dyDescent="0.2">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12.75" customHeight="1" x14ac:dyDescent="0.2">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12.75" customHeight="1" x14ac:dyDescent="0.2">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12.75" customHeight="1" x14ac:dyDescent="0.2">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12.75" customHeight="1" x14ac:dyDescent="0.2">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12.75" customHeight="1" x14ac:dyDescent="0.2">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12.75" customHeight="1" x14ac:dyDescent="0.2">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12.75" customHeight="1" x14ac:dyDescent="0.2">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12.75" customHeight="1" x14ac:dyDescent="0.2">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12.75" customHeight="1" x14ac:dyDescent="0.2">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12.75" customHeight="1" x14ac:dyDescent="0.2">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12.75" customHeight="1" x14ac:dyDescent="0.2">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2.75" customHeight="1" x14ac:dyDescent="0.2">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12.75" customHeight="1" x14ac:dyDescent="0.2">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12.75" customHeight="1" x14ac:dyDescent="0.2">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12.75" customHeight="1" x14ac:dyDescent="0.2">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12.75" customHeight="1" x14ac:dyDescent="0.2">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12.75" customHeight="1" x14ac:dyDescent="0.2">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12.75" customHeight="1" x14ac:dyDescent="0.2">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12.75" customHeight="1" x14ac:dyDescent="0.2">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12.75" customHeight="1" x14ac:dyDescent="0.2">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12.75" customHeight="1" x14ac:dyDescent="0.2">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12.75" customHeight="1" x14ac:dyDescent="0.2">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12.75" customHeight="1" x14ac:dyDescent="0.2">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12.75" customHeight="1" x14ac:dyDescent="0.2">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12.75" customHeight="1" x14ac:dyDescent="0.2">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12.75" customHeight="1" x14ac:dyDescent="0.2">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12.75" customHeight="1" x14ac:dyDescent="0.2">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12.75" customHeight="1" x14ac:dyDescent="0.2">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12.75" customHeight="1" x14ac:dyDescent="0.2">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12.75" customHeight="1" x14ac:dyDescent="0.2">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12.75" customHeight="1" x14ac:dyDescent="0.2">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12.75" customHeight="1" x14ac:dyDescent="0.2">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12.75" customHeight="1" x14ac:dyDescent="0.2">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12.75" customHeight="1" x14ac:dyDescent="0.2">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12.75" customHeight="1" x14ac:dyDescent="0.2">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12.75" customHeight="1" x14ac:dyDescent="0.2">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12.75" customHeight="1" x14ac:dyDescent="0.2">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12.75" customHeight="1" x14ac:dyDescent="0.2">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12.75" customHeight="1" x14ac:dyDescent="0.2">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2.75" customHeight="1" x14ac:dyDescent="0.2">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12.75" customHeight="1" x14ac:dyDescent="0.2">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12.75" customHeight="1" x14ac:dyDescent="0.2">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12.75" customHeight="1" x14ac:dyDescent="0.2">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12.75" customHeight="1" x14ac:dyDescent="0.2">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12.75" customHeight="1" x14ac:dyDescent="0.2">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12.75" customHeight="1" x14ac:dyDescent="0.2">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12.75" customHeight="1" x14ac:dyDescent="0.2">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12.75" customHeight="1" x14ac:dyDescent="0.2">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12.75" customHeight="1" x14ac:dyDescent="0.2">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12.75" customHeight="1" x14ac:dyDescent="0.2">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12.75" customHeight="1" x14ac:dyDescent="0.2">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12.75" customHeight="1" x14ac:dyDescent="0.2">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12.75" customHeight="1" x14ac:dyDescent="0.2">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2.75" customHeight="1" x14ac:dyDescent="0.2">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12.75" customHeight="1" x14ac:dyDescent="0.2">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12.75" customHeight="1" x14ac:dyDescent="0.2">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12.75" customHeight="1" x14ac:dyDescent="0.2">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12.75" customHeight="1" x14ac:dyDescent="0.2">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12.75" customHeight="1" x14ac:dyDescent="0.2">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12.75" customHeight="1" x14ac:dyDescent="0.2">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12.75" customHeight="1" x14ac:dyDescent="0.2">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12.75" customHeight="1" x14ac:dyDescent="0.2">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12.75" customHeight="1" x14ac:dyDescent="0.2">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12.75" customHeight="1" x14ac:dyDescent="0.2">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12.75" customHeight="1" x14ac:dyDescent="0.2">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12.75" customHeight="1" x14ac:dyDescent="0.2">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12.75" customHeight="1" x14ac:dyDescent="0.2">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12.75" customHeight="1" x14ac:dyDescent="0.2">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12.75" customHeight="1" x14ac:dyDescent="0.2">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12.75" customHeight="1" x14ac:dyDescent="0.2">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12.75" customHeight="1" x14ac:dyDescent="0.2">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12.75" customHeight="1" x14ac:dyDescent="0.2">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12.75" customHeight="1" x14ac:dyDescent="0.2">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12.75" customHeight="1" x14ac:dyDescent="0.2">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12.75" customHeight="1" x14ac:dyDescent="0.2">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12.75" customHeight="1" x14ac:dyDescent="0.2">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12.75" customHeight="1" x14ac:dyDescent="0.2">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12.75" customHeight="1" x14ac:dyDescent="0.2">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12.75" customHeight="1" x14ac:dyDescent="0.2">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12.75" customHeight="1" x14ac:dyDescent="0.2">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12.75" customHeight="1" x14ac:dyDescent="0.2">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12.75" customHeight="1" x14ac:dyDescent="0.2">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12.75" customHeight="1" x14ac:dyDescent="0.2">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12.75" customHeight="1" x14ac:dyDescent="0.2">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12.75" customHeight="1" x14ac:dyDescent="0.2">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12.75" customHeight="1" x14ac:dyDescent="0.2">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12.75" customHeight="1" x14ac:dyDescent="0.2">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12.75" customHeight="1" x14ac:dyDescent="0.2">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12.75" customHeight="1" x14ac:dyDescent="0.2">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12.75" customHeight="1" x14ac:dyDescent="0.2">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12.75" customHeight="1" x14ac:dyDescent="0.2">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12.75" customHeight="1" x14ac:dyDescent="0.2">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12.75" customHeight="1" x14ac:dyDescent="0.2">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12.75" customHeight="1" x14ac:dyDescent="0.2">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12.75" customHeight="1" x14ac:dyDescent="0.2">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12.75" customHeight="1" x14ac:dyDescent="0.2">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12.75" customHeight="1" x14ac:dyDescent="0.2">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12.75" customHeight="1" x14ac:dyDescent="0.2">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12.75" customHeight="1" x14ac:dyDescent="0.2">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12.75" customHeight="1" x14ac:dyDescent="0.2">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12.75" customHeight="1" x14ac:dyDescent="0.2">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12.75" customHeight="1" x14ac:dyDescent="0.2">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12.75" customHeight="1" x14ac:dyDescent="0.2">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12.75" customHeight="1" x14ac:dyDescent="0.2">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12.75" customHeight="1" x14ac:dyDescent="0.2">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12.75" customHeight="1" x14ac:dyDescent="0.2">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12.75" customHeight="1" x14ac:dyDescent="0.2">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12.75" customHeight="1" x14ac:dyDescent="0.2">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12.75" customHeight="1" x14ac:dyDescent="0.2">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12.75" customHeight="1" x14ac:dyDescent="0.2">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12.75" customHeight="1" x14ac:dyDescent="0.2">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12.75" customHeight="1" x14ac:dyDescent="0.2">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12.75" customHeight="1" x14ac:dyDescent="0.2">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12.75" customHeight="1" x14ac:dyDescent="0.2">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12.75" customHeight="1" x14ac:dyDescent="0.2">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12.75" customHeight="1" x14ac:dyDescent="0.2">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12.75" customHeight="1" x14ac:dyDescent="0.2">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12.75" customHeight="1" x14ac:dyDescent="0.2">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12.75" customHeight="1" x14ac:dyDescent="0.2">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12.75" customHeight="1" x14ac:dyDescent="0.2">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12.75" customHeight="1" x14ac:dyDescent="0.2">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12.75" customHeight="1" x14ac:dyDescent="0.2">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12.75" customHeight="1" x14ac:dyDescent="0.2">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12.75" customHeight="1" x14ac:dyDescent="0.2">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12.75" customHeight="1" x14ac:dyDescent="0.2">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12.75" customHeight="1" x14ac:dyDescent="0.2">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12.75" customHeight="1" x14ac:dyDescent="0.2">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12.75" customHeight="1" x14ac:dyDescent="0.2">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12.75" customHeight="1" x14ac:dyDescent="0.2">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12.75" customHeight="1" x14ac:dyDescent="0.2">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12.75" customHeight="1" x14ac:dyDescent="0.2">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12.75" customHeight="1" x14ac:dyDescent="0.2">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12.75" customHeight="1" x14ac:dyDescent="0.2">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12.75" customHeight="1" x14ac:dyDescent="0.2">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12.75" customHeight="1" x14ac:dyDescent="0.2">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12.75" customHeight="1" x14ac:dyDescent="0.2">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12.75" customHeight="1" x14ac:dyDescent="0.2">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12.75" customHeight="1" x14ac:dyDescent="0.2">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12.75" customHeight="1" x14ac:dyDescent="0.2">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12.75" customHeight="1" x14ac:dyDescent="0.2">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12.75" customHeight="1" x14ac:dyDescent="0.2">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12.75" customHeight="1" x14ac:dyDescent="0.2">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12.75" customHeight="1" x14ac:dyDescent="0.2">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12.75" customHeight="1" x14ac:dyDescent="0.2">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12.75" customHeight="1" x14ac:dyDescent="0.2">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12.75" customHeight="1" x14ac:dyDescent="0.2">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12.75" customHeight="1" x14ac:dyDescent="0.2">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12.75" customHeight="1" x14ac:dyDescent="0.2">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12.75" customHeight="1" x14ac:dyDescent="0.2">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12.75" customHeight="1" x14ac:dyDescent="0.2">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12.75" customHeight="1" x14ac:dyDescent="0.2">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12.75" customHeight="1" x14ac:dyDescent="0.2">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12.75" customHeight="1" x14ac:dyDescent="0.2">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12.75" customHeight="1" x14ac:dyDescent="0.2">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12.75" customHeight="1" x14ac:dyDescent="0.2">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12.75" customHeight="1" x14ac:dyDescent="0.2">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12.75" customHeight="1" x14ac:dyDescent="0.2">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12.75" customHeight="1" x14ac:dyDescent="0.2">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12.75" customHeight="1" x14ac:dyDescent="0.2">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12.75" customHeight="1" x14ac:dyDescent="0.2">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12.75" customHeight="1" x14ac:dyDescent="0.2">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12.75" customHeight="1" x14ac:dyDescent="0.2">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12.75" customHeight="1" x14ac:dyDescent="0.2">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12.75" customHeight="1" x14ac:dyDescent="0.2">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12.75" customHeight="1" x14ac:dyDescent="0.2">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12.75" customHeight="1" x14ac:dyDescent="0.2">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12.75" customHeight="1" x14ac:dyDescent="0.2">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12.75" customHeight="1" x14ac:dyDescent="0.2">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12.75" customHeight="1" x14ac:dyDescent="0.2">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12.75" customHeight="1" x14ac:dyDescent="0.2">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12.75" customHeight="1" x14ac:dyDescent="0.2">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12.75" customHeight="1" x14ac:dyDescent="0.2">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12.75" customHeight="1" x14ac:dyDescent="0.2">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12.75" customHeight="1" x14ac:dyDescent="0.2">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12.75" customHeight="1" x14ac:dyDescent="0.2">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12.75" customHeight="1" x14ac:dyDescent="0.2">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12.75" customHeight="1" x14ac:dyDescent="0.2">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12.75" customHeight="1" x14ac:dyDescent="0.2">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ht="12.75" customHeight="1" x14ac:dyDescent="0.2">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ht="12.75" customHeight="1" x14ac:dyDescent="0.2">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ht="12.75" customHeight="1" x14ac:dyDescent="0.2">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ht="12.75" customHeight="1" x14ac:dyDescent="0.2">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ht="12.75" customHeight="1" x14ac:dyDescent="0.2">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ht="12.75" customHeight="1" x14ac:dyDescent="0.2">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ht="12.75" customHeight="1" x14ac:dyDescent="0.2">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ht="12.75" customHeight="1" x14ac:dyDescent="0.2">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ht="12.75" customHeight="1" x14ac:dyDescent="0.2">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ht="12.75" customHeight="1" x14ac:dyDescent="0.2">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ht="12.75" customHeight="1" x14ac:dyDescent="0.2">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ht="12.75" customHeight="1" x14ac:dyDescent="0.2">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ht="12.75" customHeight="1" x14ac:dyDescent="0.2">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ht="12.75" customHeight="1" x14ac:dyDescent="0.2">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ht="12.75" customHeight="1" x14ac:dyDescent="0.2">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ht="12.75" customHeight="1" x14ac:dyDescent="0.2">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ht="12.75" customHeight="1" x14ac:dyDescent="0.2">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ht="12.75" customHeight="1" x14ac:dyDescent="0.2">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ht="12.75" customHeight="1" x14ac:dyDescent="0.2">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ht="12.75" customHeight="1" x14ac:dyDescent="0.2">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ht="12.75" customHeight="1" x14ac:dyDescent="0.2">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ht="12.75" customHeight="1" x14ac:dyDescent="0.2">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ht="12.75" customHeight="1" x14ac:dyDescent="0.2">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ht="12.75" customHeight="1" x14ac:dyDescent="0.2">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ht="12.75" customHeight="1" x14ac:dyDescent="0.2">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ht="12.75" customHeight="1" x14ac:dyDescent="0.2">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ht="12.75" customHeight="1" x14ac:dyDescent="0.2">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ht="12.75" customHeight="1" x14ac:dyDescent="0.2">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ht="12.75" customHeight="1" x14ac:dyDescent="0.2">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ht="12.75" customHeight="1" x14ac:dyDescent="0.2">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ht="12.75" customHeight="1" x14ac:dyDescent="0.2">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ht="12.75" customHeight="1" x14ac:dyDescent="0.2">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ht="12.75" customHeight="1" x14ac:dyDescent="0.2">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ht="12.75" customHeight="1" x14ac:dyDescent="0.2">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ht="12.75" customHeight="1" x14ac:dyDescent="0.2">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ht="12.75" customHeight="1" x14ac:dyDescent="0.2">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ht="12.75" customHeight="1" x14ac:dyDescent="0.2">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ht="12.75" customHeight="1" x14ac:dyDescent="0.2">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ht="12.75" customHeight="1" x14ac:dyDescent="0.2">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ht="12.75" customHeight="1" x14ac:dyDescent="0.2">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ht="12.75" customHeight="1" x14ac:dyDescent="0.2">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ht="12.75" customHeight="1" x14ac:dyDescent="0.2">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ht="12.75" customHeight="1" x14ac:dyDescent="0.2">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ht="12.75" customHeight="1" x14ac:dyDescent="0.2">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ht="12.75" customHeight="1" x14ac:dyDescent="0.2">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ht="12.75" customHeight="1" x14ac:dyDescent="0.2">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ht="12.75" customHeight="1" x14ac:dyDescent="0.2">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ht="12.75" customHeight="1" x14ac:dyDescent="0.2">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ht="12.75" customHeight="1" x14ac:dyDescent="0.2">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ht="12.75" customHeight="1" x14ac:dyDescent="0.2">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ht="12.75" customHeight="1" x14ac:dyDescent="0.2">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ht="12.75" customHeight="1" x14ac:dyDescent="0.2">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ht="12.75" customHeight="1" x14ac:dyDescent="0.2">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ht="12.75" customHeight="1" x14ac:dyDescent="0.2">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ht="12.75" customHeight="1" x14ac:dyDescent="0.2">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ht="12.75" customHeight="1" x14ac:dyDescent="0.2">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ht="12.75" customHeight="1" x14ac:dyDescent="0.2">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ht="12.75" customHeight="1" x14ac:dyDescent="0.2">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ht="12.75" customHeight="1" x14ac:dyDescent="0.2">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ht="12.75" customHeight="1" x14ac:dyDescent="0.2">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ht="12.75" customHeight="1" x14ac:dyDescent="0.2">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ht="12.75" customHeight="1" x14ac:dyDescent="0.2">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ht="12.75" customHeight="1" x14ac:dyDescent="0.2">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ht="12.75" customHeight="1" x14ac:dyDescent="0.2">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ht="12.75" customHeight="1" x14ac:dyDescent="0.2">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ht="12.75" customHeight="1" x14ac:dyDescent="0.2">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ht="12.75" customHeight="1" x14ac:dyDescent="0.2">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ht="12.75" customHeight="1" x14ac:dyDescent="0.2">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ht="12.75" customHeight="1" x14ac:dyDescent="0.2">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ht="12.75" customHeight="1" x14ac:dyDescent="0.2">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ht="12.75" customHeight="1" x14ac:dyDescent="0.2">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ht="12.75" customHeight="1" x14ac:dyDescent="0.2">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ht="12.75" customHeight="1" x14ac:dyDescent="0.2">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ht="12.75" customHeight="1" x14ac:dyDescent="0.2">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ht="12.75" customHeight="1" x14ac:dyDescent="0.2">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ht="12.75" customHeight="1" x14ac:dyDescent="0.2">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ht="12.75" customHeight="1" x14ac:dyDescent="0.2">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ht="12.75" customHeight="1" x14ac:dyDescent="0.2">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ht="12.75" customHeight="1" x14ac:dyDescent="0.2">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ht="12.75" customHeight="1" x14ac:dyDescent="0.2">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ht="12.75" customHeight="1" x14ac:dyDescent="0.2">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ht="12.75" customHeight="1" x14ac:dyDescent="0.2">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ht="12.75" customHeight="1" x14ac:dyDescent="0.2">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ht="12.75" customHeight="1" x14ac:dyDescent="0.2">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ht="12.75" customHeight="1" x14ac:dyDescent="0.2">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ht="12.75" customHeight="1" x14ac:dyDescent="0.2">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ht="12.75" customHeight="1" x14ac:dyDescent="0.2">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ht="12.75" customHeight="1" x14ac:dyDescent="0.2">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ht="12.75" customHeight="1" x14ac:dyDescent="0.2">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ht="12.75" customHeight="1" x14ac:dyDescent="0.2">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ht="12.75" customHeight="1" x14ac:dyDescent="0.2">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ht="12.75" customHeight="1" x14ac:dyDescent="0.2">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ht="12.75" customHeight="1" x14ac:dyDescent="0.2">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ht="12.75" customHeight="1" x14ac:dyDescent="0.2">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ht="12.75" customHeight="1" x14ac:dyDescent="0.2">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ht="12.75" customHeight="1" x14ac:dyDescent="0.2">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ht="12.75" customHeight="1" x14ac:dyDescent="0.2">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ht="12.75" customHeight="1" x14ac:dyDescent="0.2">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ht="12.75" customHeight="1" x14ac:dyDescent="0.2">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ht="12.75" customHeight="1" x14ac:dyDescent="0.2">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ht="12.75" customHeight="1" x14ac:dyDescent="0.2">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ht="12.75" customHeight="1" x14ac:dyDescent="0.2">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ht="12.75" customHeight="1" x14ac:dyDescent="0.2">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ht="12.75" customHeight="1" x14ac:dyDescent="0.2">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ht="12.75" customHeight="1" x14ac:dyDescent="0.2">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ht="12.75" customHeight="1" x14ac:dyDescent="0.2">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ht="12.75" customHeight="1" x14ac:dyDescent="0.2">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ht="12.75" customHeight="1" x14ac:dyDescent="0.2">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ht="12.75" customHeight="1" x14ac:dyDescent="0.2">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ht="12.75" customHeight="1" x14ac:dyDescent="0.2">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ht="12.75" customHeight="1" x14ac:dyDescent="0.2">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ht="12.75" customHeight="1" x14ac:dyDescent="0.2">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ht="12.75" customHeight="1" x14ac:dyDescent="0.2">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ht="12.75" customHeight="1" x14ac:dyDescent="0.2">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ht="12.75" customHeight="1" x14ac:dyDescent="0.2">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ht="12.75" customHeight="1" x14ac:dyDescent="0.2">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ht="12.75" customHeight="1" x14ac:dyDescent="0.2">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ht="12.75" customHeight="1" x14ac:dyDescent="0.2">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ht="12.75" customHeight="1" x14ac:dyDescent="0.2">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ht="12.75" customHeight="1" x14ac:dyDescent="0.2">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ht="12.75" customHeight="1" x14ac:dyDescent="0.2">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ht="12.75" customHeight="1" x14ac:dyDescent="0.2">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ht="12.75" customHeight="1" x14ac:dyDescent="0.2">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ht="12.75" customHeight="1" x14ac:dyDescent="0.2">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ht="12.75" customHeight="1" x14ac:dyDescent="0.2">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ht="12.75" customHeight="1" x14ac:dyDescent="0.2">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ht="12.75" customHeight="1" x14ac:dyDescent="0.2">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ht="12.75" customHeight="1" x14ac:dyDescent="0.2">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ht="12.75" customHeight="1" x14ac:dyDescent="0.2">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ht="12.75" customHeight="1" x14ac:dyDescent="0.2">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ht="12.75" customHeight="1" x14ac:dyDescent="0.2">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ht="12.75" customHeight="1" x14ac:dyDescent="0.2">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ht="12.75" customHeight="1" x14ac:dyDescent="0.2">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ht="12.75" customHeight="1" x14ac:dyDescent="0.2">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ht="12.75" customHeight="1" x14ac:dyDescent="0.2">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ht="12.75" customHeight="1" x14ac:dyDescent="0.2">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ht="12.75" customHeight="1" x14ac:dyDescent="0.2">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ht="12.75" customHeight="1" x14ac:dyDescent="0.2">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ht="12.75" customHeight="1" x14ac:dyDescent="0.2">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ht="12.75" customHeight="1" x14ac:dyDescent="0.2">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ht="12.75" customHeight="1" x14ac:dyDescent="0.2">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ht="12.75" customHeight="1" x14ac:dyDescent="0.2">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ht="12.75" customHeight="1" x14ac:dyDescent="0.2">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ht="12.75" customHeight="1" x14ac:dyDescent="0.2">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ht="12.75" customHeight="1" x14ac:dyDescent="0.2">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ht="12.75" customHeight="1" x14ac:dyDescent="0.2">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ht="12.75" customHeight="1" x14ac:dyDescent="0.2">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ht="12.75" customHeight="1" x14ac:dyDescent="0.2">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ht="12.75" customHeight="1" x14ac:dyDescent="0.2">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ht="12.75" customHeight="1" x14ac:dyDescent="0.2">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ht="12.75" customHeight="1" x14ac:dyDescent="0.2">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ht="12.75" customHeight="1" x14ac:dyDescent="0.2">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ht="12.75" customHeight="1" x14ac:dyDescent="0.2">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ht="12.75" customHeight="1" x14ac:dyDescent="0.2">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ht="12.75" customHeight="1" x14ac:dyDescent="0.2">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ht="12.75" customHeight="1" x14ac:dyDescent="0.2">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ht="12.75" customHeight="1" x14ac:dyDescent="0.2">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ht="12.75" customHeight="1" x14ac:dyDescent="0.2">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ht="12.75" customHeight="1" x14ac:dyDescent="0.2">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ht="12.75" customHeight="1" x14ac:dyDescent="0.2">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ht="12.75" customHeight="1" x14ac:dyDescent="0.2">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ht="12.75" customHeight="1" x14ac:dyDescent="0.2">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ht="12.75" customHeight="1" x14ac:dyDescent="0.2">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ht="12.75" customHeight="1" x14ac:dyDescent="0.2">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ht="12.75" customHeight="1" x14ac:dyDescent="0.2">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ht="12.75" customHeight="1" x14ac:dyDescent="0.2">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ht="12.75" customHeight="1" x14ac:dyDescent="0.2">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ht="12.75" customHeight="1" x14ac:dyDescent="0.2">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ht="12.75" customHeight="1" x14ac:dyDescent="0.2">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ht="12.75" customHeight="1" x14ac:dyDescent="0.2">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ht="12.75" customHeight="1" x14ac:dyDescent="0.2">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ht="12.75" customHeight="1" x14ac:dyDescent="0.2">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ht="12.75" customHeight="1" x14ac:dyDescent="0.2">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ht="12.75" customHeight="1" x14ac:dyDescent="0.2">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ht="12.75" customHeight="1" x14ac:dyDescent="0.2">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ht="12.75" customHeight="1" x14ac:dyDescent="0.2">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ht="12.75" customHeight="1" x14ac:dyDescent="0.2">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ht="12.75" customHeight="1" x14ac:dyDescent="0.2">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ht="12.75" customHeight="1" x14ac:dyDescent="0.2">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ht="12.75" customHeight="1" x14ac:dyDescent="0.2">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ht="12.75" customHeight="1" x14ac:dyDescent="0.2">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ht="12.75" customHeight="1" x14ac:dyDescent="0.2">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ht="12.75" customHeight="1" x14ac:dyDescent="0.2">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ht="12.75" customHeight="1" x14ac:dyDescent="0.2">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ht="12.75" customHeight="1" x14ac:dyDescent="0.2">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ht="12.75" customHeight="1" x14ac:dyDescent="0.2">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ht="12.75" customHeight="1" x14ac:dyDescent="0.2">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ht="12.75" customHeight="1" x14ac:dyDescent="0.2">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ht="12.75" customHeight="1" x14ac:dyDescent="0.2">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ht="12.75" customHeight="1" x14ac:dyDescent="0.2">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ht="12.75" customHeight="1" x14ac:dyDescent="0.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ht="12.75" customHeight="1" x14ac:dyDescent="0.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ht="12.75" customHeight="1" x14ac:dyDescent="0.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ht="12.75" customHeight="1" x14ac:dyDescent="0.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ht="12.75" customHeight="1" x14ac:dyDescent="0.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ht="12.75" customHeight="1" x14ac:dyDescent="0.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ht="12.75" customHeight="1" x14ac:dyDescent="0.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ht="12.75" customHeight="1" x14ac:dyDescent="0.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ht="12.75" customHeight="1" x14ac:dyDescent="0.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ht="12.75" customHeight="1" x14ac:dyDescent="0.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ht="12.75" customHeight="1" x14ac:dyDescent="0.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ht="12.75" customHeight="1" x14ac:dyDescent="0.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ht="12.75" customHeight="1" x14ac:dyDescent="0.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ht="12.75" customHeight="1" x14ac:dyDescent="0.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ht="12.75" customHeight="1" x14ac:dyDescent="0.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ht="12.75" customHeight="1" x14ac:dyDescent="0.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ht="12.75" customHeight="1" x14ac:dyDescent="0.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ht="12.75" customHeight="1" x14ac:dyDescent="0.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ht="12.75" customHeight="1" x14ac:dyDescent="0.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ht="12.75" customHeight="1" x14ac:dyDescent="0.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ht="12.75" customHeight="1" x14ac:dyDescent="0.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ht="12.75" customHeight="1" x14ac:dyDescent="0.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ht="12.75" customHeight="1" x14ac:dyDescent="0.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ht="12.75" customHeight="1" x14ac:dyDescent="0.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ht="12.75" customHeight="1" x14ac:dyDescent="0.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ht="12.75" customHeight="1" x14ac:dyDescent="0.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ht="12.75" customHeight="1" x14ac:dyDescent="0.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ht="12.75" customHeight="1" x14ac:dyDescent="0.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ht="12.75" customHeight="1" x14ac:dyDescent="0.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ht="12.75" customHeight="1" x14ac:dyDescent="0.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ht="12.75" customHeight="1" x14ac:dyDescent="0.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ht="12.75" customHeight="1" x14ac:dyDescent="0.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ht="12.75" customHeight="1" x14ac:dyDescent="0.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ht="12.75" customHeight="1" x14ac:dyDescent="0.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ht="12.75" customHeight="1" x14ac:dyDescent="0.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ht="12.75" customHeight="1" x14ac:dyDescent="0.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ht="12.75" customHeight="1" x14ac:dyDescent="0.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ht="12.75" customHeight="1" x14ac:dyDescent="0.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ht="12.75" customHeight="1" x14ac:dyDescent="0.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ht="12.75" customHeight="1" x14ac:dyDescent="0.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ht="12.75" customHeight="1" x14ac:dyDescent="0.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ht="12.75" customHeight="1" x14ac:dyDescent="0.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ht="12.75" customHeight="1" x14ac:dyDescent="0.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ht="12.75" customHeight="1" x14ac:dyDescent="0.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ht="12.75" customHeight="1" x14ac:dyDescent="0.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ht="12.75" customHeight="1" x14ac:dyDescent="0.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ht="12.75" customHeight="1" x14ac:dyDescent="0.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ht="12.75" customHeight="1" x14ac:dyDescent="0.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ht="12.75" customHeight="1" x14ac:dyDescent="0.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ht="12.75" customHeight="1" x14ac:dyDescent="0.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ht="12.75" customHeight="1" x14ac:dyDescent="0.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ht="12.75" customHeight="1" x14ac:dyDescent="0.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ht="12.75" customHeight="1" x14ac:dyDescent="0.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ht="12.75" customHeight="1" x14ac:dyDescent="0.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ht="12.75" customHeight="1" x14ac:dyDescent="0.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ht="12.75" customHeight="1" x14ac:dyDescent="0.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ht="12.75" customHeight="1" x14ac:dyDescent="0.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ht="12.75" customHeight="1" x14ac:dyDescent="0.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ht="12.75" customHeight="1" x14ac:dyDescent="0.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ht="12.75" customHeight="1" x14ac:dyDescent="0.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ht="12.75" customHeight="1" x14ac:dyDescent="0.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ht="12.75" customHeight="1" x14ac:dyDescent="0.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ht="12.75" customHeight="1" x14ac:dyDescent="0.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ht="12.75" customHeight="1" x14ac:dyDescent="0.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ht="12.75" customHeight="1" x14ac:dyDescent="0.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ht="12.75" customHeight="1" x14ac:dyDescent="0.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ht="12.75" customHeight="1" x14ac:dyDescent="0.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ht="12.75" customHeight="1" x14ac:dyDescent="0.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ht="12.75" customHeight="1" x14ac:dyDescent="0.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ht="12.75" customHeight="1" x14ac:dyDescent="0.2">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ht="12.75" customHeight="1" x14ac:dyDescent="0.2">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ht="12.75" customHeight="1" x14ac:dyDescent="0.2">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ht="12.75" customHeight="1" x14ac:dyDescent="0.2">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ht="12.75" customHeight="1" x14ac:dyDescent="0.2">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ht="12.75" customHeight="1" x14ac:dyDescent="0.2">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ht="12.75" customHeight="1" x14ac:dyDescent="0.2">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ht="12.75" customHeight="1" x14ac:dyDescent="0.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ht="12.75" customHeight="1" x14ac:dyDescent="0.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ht="12.75" customHeight="1" x14ac:dyDescent="0.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ht="12.75" customHeight="1" x14ac:dyDescent="0.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ht="12.75" customHeight="1" x14ac:dyDescent="0.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ht="12.75" customHeight="1" x14ac:dyDescent="0.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ht="12.75" customHeight="1" x14ac:dyDescent="0.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ht="12.75" customHeight="1" x14ac:dyDescent="0.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ht="12.75" customHeight="1" x14ac:dyDescent="0.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ht="12.75" customHeight="1" x14ac:dyDescent="0.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ht="12.75" customHeight="1" x14ac:dyDescent="0.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ht="12.75" customHeight="1" x14ac:dyDescent="0.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ht="12.75" customHeight="1" x14ac:dyDescent="0.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ht="12.75" customHeight="1" x14ac:dyDescent="0.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ht="12.75" customHeight="1" x14ac:dyDescent="0.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ht="12.75" customHeight="1" x14ac:dyDescent="0.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ht="12.75" customHeight="1" x14ac:dyDescent="0.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ht="12.75" customHeight="1" x14ac:dyDescent="0.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ht="12.75" customHeight="1" x14ac:dyDescent="0.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ht="12.75" customHeight="1" x14ac:dyDescent="0.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ht="12.75" customHeight="1" x14ac:dyDescent="0.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ht="12.75" customHeight="1" x14ac:dyDescent="0.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ht="12.75" customHeight="1" x14ac:dyDescent="0.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ht="12.75" customHeight="1" x14ac:dyDescent="0.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ht="12.75" customHeight="1" x14ac:dyDescent="0.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ht="12.75" customHeight="1" x14ac:dyDescent="0.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ht="12.75" customHeight="1" x14ac:dyDescent="0.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ht="12.75" customHeight="1" x14ac:dyDescent="0.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ht="12.75" customHeight="1" x14ac:dyDescent="0.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ht="12.75" customHeight="1" x14ac:dyDescent="0.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ht="12.75" customHeight="1" x14ac:dyDescent="0.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ht="12.75" customHeight="1" x14ac:dyDescent="0.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ht="12.75" customHeight="1" x14ac:dyDescent="0.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ht="12.75" customHeight="1" x14ac:dyDescent="0.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ht="12.75" customHeight="1" x14ac:dyDescent="0.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ht="12.75" customHeight="1" x14ac:dyDescent="0.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ht="12.75" customHeight="1" x14ac:dyDescent="0.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ht="12.75" customHeight="1" x14ac:dyDescent="0.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ht="12.75" customHeight="1" x14ac:dyDescent="0.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ht="12.75" customHeight="1" x14ac:dyDescent="0.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ht="12.75" customHeight="1" x14ac:dyDescent="0.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ht="12.75" customHeight="1" x14ac:dyDescent="0.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ht="12.75" customHeight="1" x14ac:dyDescent="0.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ht="12.75" customHeight="1" x14ac:dyDescent="0.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ht="12.75" customHeight="1" x14ac:dyDescent="0.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ht="12.75" customHeight="1" x14ac:dyDescent="0.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ht="12.75" customHeight="1" x14ac:dyDescent="0.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ht="12.75" customHeight="1" x14ac:dyDescent="0.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ht="12.75" customHeight="1" x14ac:dyDescent="0.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ht="12.75" customHeight="1" x14ac:dyDescent="0.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ht="12.75" customHeight="1" x14ac:dyDescent="0.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ht="12.75" customHeight="1" x14ac:dyDescent="0.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ht="12.75" customHeight="1" x14ac:dyDescent="0.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ht="12.75" customHeight="1" x14ac:dyDescent="0.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ht="12.75" customHeight="1" x14ac:dyDescent="0.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ht="12.75" customHeight="1" x14ac:dyDescent="0.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ht="12.75" customHeight="1" x14ac:dyDescent="0.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ht="12.75" customHeight="1" x14ac:dyDescent="0.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ht="12.75" customHeight="1" x14ac:dyDescent="0.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ht="12.75" customHeight="1" x14ac:dyDescent="0.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ht="12.75" customHeight="1" x14ac:dyDescent="0.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ht="12.75" customHeight="1" x14ac:dyDescent="0.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ht="12.75" customHeight="1" x14ac:dyDescent="0.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ht="12.75" customHeight="1" x14ac:dyDescent="0.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ht="12.75" customHeight="1" x14ac:dyDescent="0.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ht="12.75" customHeight="1" x14ac:dyDescent="0.2">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ht="12.75" customHeight="1" x14ac:dyDescent="0.2">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ht="12.75" customHeight="1" x14ac:dyDescent="0.2">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ht="12.75" customHeight="1" x14ac:dyDescent="0.2">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ht="12.75" customHeight="1" x14ac:dyDescent="0.2">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ht="12.75" customHeight="1" x14ac:dyDescent="0.2">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ht="12.75" customHeight="1" x14ac:dyDescent="0.2">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ht="12.75" customHeight="1" x14ac:dyDescent="0.2">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ht="12.75" customHeight="1" x14ac:dyDescent="0.2">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ht="12.75" customHeight="1" x14ac:dyDescent="0.2">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ht="12.75" customHeight="1" x14ac:dyDescent="0.2">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ht="12.75" customHeight="1" x14ac:dyDescent="0.2">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ht="12.75" customHeight="1" x14ac:dyDescent="0.2">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ht="12.75" customHeight="1" x14ac:dyDescent="0.2">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ht="12.75" customHeight="1" x14ac:dyDescent="0.2">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ht="12.75" customHeight="1" x14ac:dyDescent="0.2">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ht="12.75" customHeight="1" x14ac:dyDescent="0.2">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ht="12.75" customHeight="1" x14ac:dyDescent="0.2">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ht="12.75" customHeight="1" x14ac:dyDescent="0.2">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ht="12.75" customHeight="1" x14ac:dyDescent="0.2">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ht="12.75" customHeight="1" x14ac:dyDescent="0.2">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ht="12.75" customHeight="1" x14ac:dyDescent="0.2">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ht="12.75" customHeight="1" x14ac:dyDescent="0.2">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ht="12.75" customHeight="1" x14ac:dyDescent="0.2">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ht="12.75" customHeight="1" x14ac:dyDescent="0.2">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ht="12.75" customHeight="1" x14ac:dyDescent="0.2">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ht="12.75" customHeight="1" x14ac:dyDescent="0.2">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ht="12.75" customHeight="1" x14ac:dyDescent="0.2">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ht="12.75" customHeight="1" x14ac:dyDescent="0.2">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ht="12.75" customHeight="1" x14ac:dyDescent="0.2">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ht="12.75" customHeight="1" x14ac:dyDescent="0.2">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ht="12.75" customHeight="1" x14ac:dyDescent="0.2">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ht="12.75" customHeight="1" x14ac:dyDescent="0.2">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ht="12.75" customHeight="1" x14ac:dyDescent="0.2">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ht="12.75" customHeight="1" x14ac:dyDescent="0.2">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ht="12.75" customHeight="1" x14ac:dyDescent="0.2">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ht="12.75" customHeight="1" x14ac:dyDescent="0.2">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ht="12.75" customHeight="1" x14ac:dyDescent="0.2">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ht="12.75" customHeight="1" x14ac:dyDescent="0.2">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ht="12.75" customHeight="1" x14ac:dyDescent="0.2">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ht="12.75" customHeight="1" x14ac:dyDescent="0.2">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ht="12.75" customHeight="1" x14ac:dyDescent="0.2">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ht="12.75" customHeight="1" x14ac:dyDescent="0.2">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ht="12.75" customHeight="1" x14ac:dyDescent="0.2">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ht="12.75" customHeight="1" x14ac:dyDescent="0.2">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ht="12.75" customHeight="1" x14ac:dyDescent="0.2">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ht="12.75" customHeight="1" x14ac:dyDescent="0.2">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ht="12.75" customHeight="1" x14ac:dyDescent="0.2">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ht="12.75" customHeight="1" x14ac:dyDescent="0.2">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ht="12.75" customHeight="1" x14ac:dyDescent="0.2">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ht="12.75" customHeight="1" x14ac:dyDescent="0.2">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ht="12.75" customHeight="1" x14ac:dyDescent="0.2">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ht="12.75" customHeight="1" x14ac:dyDescent="0.2">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ht="12.75" customHeight="1" x14ac:dyDescent="0.2">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ht="12.75" customHeight="1" x14ac:dyDescent="0.2">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ht="12.75" customHeight="1" x14ac:dyDescent="0.2">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ht="12.75" customHeight="1" x14ac:dyDescent="0.2">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ht="12.75" customHeight="1" x14ac:dyDescent="0.2">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ht="12.75" customHeight="1" x14ac:dyDescent="0.2">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ht="12.75" customHeight="1" x14ac:dyDescent="0.2">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ht="12.75" customHeight="1" x14ac:dyDescent="0.2">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ht="12.75" customHeight="1" x14ac:dyDescent="0.2">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ht="12.75" customHeight="1" x14ac:dyDescent="0.2">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ht="12.75" customHeight="1" x14ac:dyDescent="0.2">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ht="12.75" customHeight="1" x14ac:dyDescent="0.2">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ht="12.75" customHeight="1" x14ac:dyDescent="0.2">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ht="12.75" customHeight="1" x14ac:dyDescent="0.2">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ht="12.75" customHeight="1" x14ac:dyDescent="0.2">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ht="12.75" customHeight="1" x14ac:dyDescent="0.2">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ht="12.75" customHeight="1" x14ac:dyDescent="0.2">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ht="12.75" customHeight="1" x14ac:dyDescent="0.2">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ht="12.75" customHeight="1" x14ac:dyDescent="0.2">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ht="12.75" customHeight="1" x14ac:dyDescent="0.2">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ht="12.75" customHeight="1" x14ac:dyDescent="0.2">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ht="12.75" customHeight="1" x14ac:dyDescent="0.2">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ht="12.75" customHeight="1" x14ac:dyDescent="0.2">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ht="12.75" customHeight="1" x14ac:dyDescent="0.2">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ht="12.75" customHeight="1" x14ac:dyDescent="0.2">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ht="12.75" customHeight="1" x14ac:dyDescent="0.2">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ht="12.75" customHeight="1" x14ac:dyDescent="0.2">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ht="12.75" customHeight="1" x14ac:dyDescent="0.2">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ht="12.75" customHeight="1" x14ac:dyDescent="0.2">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ht="12.75" customHeight="1" x14ac:dyDescent="0.2">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ht="12.75" customHeight="1" x14ac:dyDescent="0.2">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ht="12.75" customHeight="1" x14ac:dyDescent="0.2">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ht="12.75" customHeight="1" x14ac:dyDescent="0.2">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ht="12.75" customHeight="1" x14ac:dyDescent="0.2">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ht="12.75" customHeight="1" x14ac:dyDescent="0.2">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ht="12.75" customHeight="1" x14ac:dyDescent="0.2">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ht="12.75" customHeight="1" x14ac:dyDescent="0.2">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ht="12.75" customHeight="1" x14ac:dyDescent="0.2">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ht="12.75" customHeight="1" x14ac:dyDescent="0.2">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ht="12.75" customHeight="1" x14ac:dyDescent="0.2">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ht="12.75" customHeight="1" x14ac:dyDescent="0.2">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ht="12.75" customHeight="1" x14ac:dyDescent="0.2">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ht="12.75" customHeight="1" x14ac:dyDescent="0.2">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ht="12.75" customHeight="1" x14ac:dyDescent="0.2">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ht="12.75" customHeight="1" x14ac:dyDescent="0.2">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ht="12.75" customHeight="1" x14ac:dyDescent="0.2">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ht="12.75" customHeight="1" x14ac:dyDescent="0.2">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ht="12.75" customHeight="1" x14ac:dyDescent="0.2">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ht="12.75" customHeight="1" x14ac:dyDescent="0.2">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ht="12.75" customHeight="1" x14ac:dyDescent="0.2">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ht="12.75" customHeight="1" x14ac:dyDescent="0.2">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ht="12.75" customHeight="1" x14ac:dyDescent="0.2">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ht="12.75" customHeight="1" x14ac:dyDescent="0.2">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ht="12.75" customHeight="1" x14ac:dyDescent="0.2">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ht="12.75" customHeight="1" x14ac:dyDescent="0.2">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ht="12.75" customHeight="1" x14ac:dyDescent="0.2">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ht="12.75" customHeight="1" x14ac:dyDescent="0.2">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ht="12.75" customHeight="1" x14ac:dyDescent="0.2">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ht="12.75" customHeight="1" x14ac:dyDescent="0.2">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ht="12.75" customHeight="1" x14ac:dyDescent="0.2">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ht="12.75" customHeight="1" x14ac:dyDescent="0.2">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ht="12.75" customHeight="1" x14ac:dyDescent="0.2">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ht="12.75" customHeight="1" x14ac:dyDescent="0.2">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ht="12.75" customHeight="1" x14ac:dyDescent="0.2">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ht="12.75" customHeight="1" x14ac:dyDescent="0.2">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ht="12.75" customHeight="1" x14ac:dyDescent="0.2">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ht="12.75" customHeight="1" x14ac:dyDescent="0.2">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ht="12.75" customHeight="1" x14ac:dyDescent="0.2">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ht="12.75" customHeight="1" x14ac:dyDescent="0.2">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ht="12.75" customHeight="1" x14ac:dyDescent="0.2">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ht="12.75" customHeight="1" x14ac:dyDescent="0.2">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ht="12.75" customHeight="1" x14ac:dyDescent="0.2">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ht="12.75" customHeight="1" x14ac:dyDescent="0.2">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ht="12.75" customHeight="1" x14ac:dyDescent="0.2">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ht="12.75" customHeight="1" x14ac:dyDescent="0.2">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ht="12.75" customHeight="1" x14ac:dyDescent="0.2">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ht="12.75" customHeight="1" x14ac:dyDescent="0.2">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ht="12.75" customHeight="1" x14ac:dyDescent="0.2">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ht="12.75" customHeight="1" x14ac:dyDescent="0.2">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ht="12.75" customHeight="1" x14ac:dyDescent="0.2">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ht="12.75" customHeight="1" x14ac:dyDescent="0.2">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ht="12.75" customHeight="1" x14ac:dyDescent="0.2">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ht="12.75" customHeight="1" x14ac:dyDescent="0.2">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ht="12.75" customHeight="1" x14ac:dyDescent="0.2">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ht="12.75" customHeight="1" x14ac:dyDescent="0.2">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ht="12.75" customHeight="1" x14ac:dyDescent="0.2">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ht="12.75" customHeight="1" x14ac:dyDescent="0.2">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ht="12.75" customHeight="1" x14ac:dyDescent="0.2">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ht="12.75" customHeight="1" x14ac:dyDescent="0.2">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ht="12.75" customHeight="1" x14ac:dyDescent="0.2">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ht="12.75" customHeight="1" x14ac:dyDescent="0.2">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ht="12.75" customHeight="1" x14ac:dyDescent="0.2">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ht="12.75" customHeight="1" x14ac:dyDescent="0.2">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ht="12.75" customHeight="1" x14ac:dyDescent="0.2">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ht="12.75" customHeight="1" x14ac:dyDescent="0.2">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ht="12.75" customHeight="1" x14ac:dyDescent="0.2">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ht="12.75" customHeight="1" x14ac:dyDescent="0.2">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ht="12.75" customHeight="1" x14ac:dyDescent="0.2">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ht="12.75" customHeight="1" x14ac:dyDescent="0.2">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ht="12.75" customHeight="1" x14ac:dyDescent="0.2">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ht="12.75" customHeight="1" x14ac:dyDescent="0.2">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ht="12.75" customHeight="1" x14ac:dyDescent="0.2">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ht="12.75" customHeight="1" x14ac:dyDescent="0.2">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ht="12.75" customHeight="1" x14ac:dyDescent="0.2">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ht="12.75" customHeight="1" x14ac:dyDescent="0.2">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ht="12.75" customHeight="1" x14ac:dyDescent="0.2">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ht="12.75" customHeight="1" x14ac:dyDescent="0.2">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ht="12.75" customHeight="1" x14ac:dyDescent="0.2">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ht="12.75" customHeight="1" x14ac:dyDescent="0.2">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ht="12.75" customHeight="1" x14ac:dyDescent="0.2">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ht="12.75" customHeight="1" x14ac:dyDescent="0.2">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ht="12.75" customHeight="1" x14ac:dyDescent="0.2">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ht="12.75" customHeight="1" x14ac:dyDescent="0.2">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ht="12.75" customHeight="1" x14ac:dyDescent="0.2">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ht="12.75" customHeight="1" x14ac:dyDescent="0.2">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ht="12.75" customHeight="1" x14ac:dyDescent="0.2">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spans="1:26" ht="12.75" customHeight="1" x14ac:dyDescent="0.2">
      <c r="A926" s="115"/>
      <c r="B926" s="115"/>
      <c r="C926" s="115"/>
      <c r="D926" s="115"/>
      <c r="E926" s="11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spans="1:26" ht="12.75" customHeight="1" x14ac:dyDescent="0.2">
      <c r="A927" s="115"/>
      <c r="B927" s="115"/>
      <c r="C927" s="115"/>
      <c r="D927" s="115"/>
      <c r="E927" s="11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spans="1:26" ht="12.75" customHeight="1" x14ac:dyDescent="0.2">
      <c r="A928" s="115"/>
      <c r="B928" s="115"/>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spans="1:26" ht="12.75" customHeight="1" x14ac:dyDescent="0.2">
      <c r="A929" s="115"/>
      <c r="B929" s="115"/>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spans="1:26" ht="12.75" customHeight="1" x14ac:dyDescent="0.2">
      <c r="A930" s="115"/>
      <c r="B930" s="115"/>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spans="1:26" ht="12.75" customHeight="1" x14ac:dyDescent="0.2">
      <c r="A931" s="115"/>
      <c r="B931" s="115"/>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spans="1:26" ht="12.75" customHeight="1" x14ac:dyDescent="0.2">
      <c r="A932" s="115"/>
      <c r="B932" s="115"/>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spans="1:26" ht="12.75" customHeight="1" x14ac:dyDescent="0.2">
      <c r="A933" s="115"/>
      <c r="B933" s="115"/>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spans="1:26" ht="12.75" customHeight="1" x14ac:dyDescent="0.2">
      <c r="A934" s="115"/>
      <c r="B934" s="115"/>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spans="1:26" ht="12.75" customHeight="1" x14ac:dyDescent="0.2">
      <c r="A935" s="115"/>
      <c r="B935" s="115"/>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spans="1:26" ht="12.75" customHeight="1" x14ac:dyDescent="0.2">
      <c r="A936" s="115"/>
      <c r="B936" s="115"/>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spans="1:26" ht="12.75" customHeight="1" x14ac:dyDescent="0.2">
      <c r="A937" s="115"/>
      <c r="B937" s="115"/>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spans="1:26" ht="12.75" customHeight="1" x14ac:dyDescent="0.2">
      <c r="A938" s="115"/>
      <c r="B938" s="115"/>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spans="1:26" ht="12.75" customHeight="1" x14ac:dyDescent="0.2">
      <c r="A939" s="115"/>
      <c r="B939" s="115"/>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spans="1:26" ht="12.75" customHeight="1" x14ac:dyDescent="0.2">
      <c r="A940" s="115"/>
      <c r="B940" s="115"/>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spans="1:26" ht="12.75" customHeight="1" x14ac:dyDescent="0.2">
      <c r="A941" s="115"/>
      <c r="B941" s="115"/>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spans="1:26" ht="12.75" customHeight="1" x14ac:dyDescent="0.2">
      <c r="A942" s="115"/>
      <c r="B942" s="115"/>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spans="1:26" ht="12.75" customHeight="1" x14ac:dyDescent="0.2">
      <c r="A943" s="115"/>
      <c r="B943" s="115"/>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spans="1:26" ht="12.75" customHeight="1" x14ac:dyDescent="0.2">
      <c r="A944" s="115"/>
      <c r="B944" s="115"/>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spans="1:26" ht="12.75" customHeight="1" x14ac:dyDescent="0.2">
      <c r="A945" s="115"/>
      <c r="B945" s="115"/>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spans="1:26" ht="12.75" customHeight="1" x14ac:dyDescent="0.2">
      <c r="A946" s="115"/>
      <c r="B946" s="115"/>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spans="1:26" ht="12.75" customHeight="1" x14ac:dyDescent="0.2">
      <c r="A947" s="115"/>
      <c r="B947" s="115"/>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spans="1:26" ht="12.75" customHeight="1" x14ac:dyDescent="0.2">
      <c r="A948" s="115"/>
      <c r="B948" s="115"/>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spans="1:26" ht="12.75" customHeight="1" x14ac:dyDescent="0.2">
      <c r="A949" s="115"/>
      <c r="B949" s="115"/>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spans="1:26" ht="12.75" customHeight="1" x14ac:dyDescent="0.2">
      <c r="A950" s="115"/>
      <c r="B950" s="115"/>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spans="1:26" ht="12.75" customHeight="1" x14ac:dyDescent="0.2">
      <c r="A951" s="115"/>
      <c r="B951" s="115"/>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spans="1:26" ht="12.75" customHeight="1" x14ac:dyDescent="0.2">
      <c r="A952" s="115"/>
      <c r="B952" s="115"/>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spans="1:26" ht="12.75" customHeight="1" x14ac:dyDescent="0.2">
      <c r="A953" s="115"/>
      <c r="B953" s="115"/>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spans="1:26" ht="12.75" customHeight="1" x14ac:dyDescent="0.2">
      <c r="A954" s="115"/>
      <c r="B954" s="115"/>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spans="1:26" ht="12.75" customHeight="1" x14ac:dyDescent="0.2">
      <c r="A955" s="115"/>
      <c r="B955" s="115"/>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spans="1:26" ht="12.75" customHeight="1" x14ac:dyDescent="0.2">
      <c r="A956" s="115"/>
      <c r="B956" s="115"/>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spans="1:26" ht="12.75" customHeight="1" x14ac:dyDescent="0.2">
      <c r="A957" s="115"/>
      <c r="B957" s="115"/>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spans="1:26" ht="12.75" customHeight="1" x14ac:dyDescent="0.2">
      <c r="A958" s="115"/>
      <c r="B958" s="115"/>
      <c r="C958" s="115"/>
      <c r="D958" s="115"/>
      <c r="E958" s="11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spans="1:26" ht="12.75" customHeight="1" x14ac:dyDescent="0.2">
      <c r="A959" s="115"/>
      <c r="B959" s="115"/>
      <c r="C959" s="115"/>
      <c r="D959" s="115"/>
      <c r="E959" s="11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spans="1:26" ht="12.75" customHeight="1" x14ac:dyDescent="0.2">
      <c r="A960" s="115"/>
      <c r="B960" s="115"/>
      <c r="C960" s="115"/>
      <c r="D960" s="115"/>
      <c r="E960" s="11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spans="1:26" ht="12.75" customHeight="1" x14ac:dyDescent="0.2">
      <c r="A961" s="115"/>
      <c r="B961" s="115"/>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spans="1:26" ht="12.75" customHeight="1" x14ac:dyDescent="0.2">
      <c r="A962" s="115"/>
      <c r="B962" s="115"/>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spans="1:26" ht="12.75" customHeight="1" x14ac:dyDescent="0.2">
      <c r="A963" s="115"/>
      <c r="B963" s="115"/>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spans="1:26" ht="12.75" customHeight="1" x14ac:dyDescent="0.2">
      <c r="A964" s="115"/>
      <c r="B964" s="115"/>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spans="1:26" ht="12.75" customHeight="1" x14ac:dyDescent="0.2">
      <c r="A965" s="115"/>
      <c r="B965" s="115"/>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spans="1:26" ht="12.75" customHeight="1" x14ac:dyDescent="0.2">
      <c r="A966" s="115"/>
      <c r="B966" s="115"/>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spans="1:26" ht="12.75" customHeight="1" x14ac:dyDescent="0.2">
      <c r="A967" s="115"/>
      <c r="B967" s="115"/>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spans="1:26" ht="12.75" customHeight="1" x14ac:dyDescent="0.2">
      <c r="A968" s="115"/>
      <c r="B968" s="115"/>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spans="1:26" ht="12.75" customHeight="1" x14ac:dyDescent="0.2">
      <c r="A969" s="115"/>
      <c r="B969" s="115"/>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spans="1:26" ht="12.75" customHeight="1" x14ac:dyDescent="0.2">
      <c r="A970" s="115"/>
      <c r="B970" s="115"/>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spans="1:26" ht="12.75" customHeight="1" x14ac:dyDescent="0.2">
      <c r="A971" s="115"/>
      <c r="B971" s="115"/>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spans="1:26" ht="12.75" customHeight="1" x14ac:dyDescent="0.2">
      <c r="A972" s="115"/>
      <c r="B972" s="115"/>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spans="1:26" ht="12.75" customHeight="1" x14ac:dyDescent="0.2">
      <c r="A973" s="115"/>
      <c r="B973" s="115"/>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spans="1:26" ht="12.75" customHeight="1" x14ac:dyDescent="0.2">
      <c r="A974" s="115"/>
      <c r="B974" s="115"/>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spans="1:26" ht="12.75" customHeight="1" x14ac:dyDescent="0.2">
      <c r="A975" s="115"/>
      <c r="B975" s="115"/>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spans="1:26" ht="12.75" customHeight="1" x14ac:dyDescent="0.2">
      <c r="A976" s="115"/>
      <c r="B976" s="115"/>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spans="1:26" ht="12.75" customHeight="1" x14ac:dyDescent="0.2">
      <c r="A977" s="115"/>
      <c r="B977" s="115"/>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spans="1:26" ht="12.75" customHeight="1" x14ac:dyDescent="0.2">
      <c r="A978" s="115"/>
      <c r="B978" s="115"/>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spans="1:26" ht="12.75" customHeight="1" x14ac:dyDescent="0.2">
      <c r="A979" s="115"/>
      <c r="B979" s="115"/>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spans="1:26" ht="12.75" customHeight="1" x14ac:dyDescent="0.2">
      <c r="A980" s="115"/>
      <c r="B980" s="115"/>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spans="1:26" ht="12.75" customHeight="1" x14ac:dyDescent="0.2">
      <c r="A981" s="115"/>
      <c r="B981" s="115"/>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spans="1:26" ht="12.75" customHeight="1" x14ac:dyDescent="0.2">
      <c r="A982" s="115"/>
      <c r="B982" s="115"/>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spans="1:26" ht="12.75" customHeight="1" x14ac:dyDescent="0.2">
      <c r="A983" s="115"/>
      <c r="B983" s="115"/>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spans="1:26" ht="12.75" customHeight="1" x14ac:dyDescent="0.2">
      <c r="A984" s="115"/>
      <c r="B984" s="115"/>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spans="1:26" ht="12.75" customHeight="1" x14ac:dyDescent="0.2">
      <c r="A985" s="115"/>
      <c r="B985" s="115"/>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spans="1:26" ht="12.75" customHeight="1" x14ac:dyDescent="0.2">
      <c r="A986" s="115"/>
      <c r="B986" s="115"/>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spans="1:26" ht="12.75" customHeight="1" x14ac:dyDescent="0.2">
      <c r="A987" s="115"/>
      <c r="B987" s="115"/>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spans="1:26" ht="12.75" customHeight="1" x14ac:dyDescent="0.2">
      <c r="A988" s="115"/>
      <c r="B988" s="115"/>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spans="1:26" ht="12.75" customHeight="1" x14ac:dyDescent="0.2">
      <c r="A989" s="115"/>
      <c r="B989" s="115"/>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spans="1:26" ht="12.75" customHeight="1" x14ac:dyDescent="0.2">
      <c r="A990" s="115"/>
      <c r="B990" s="115"/>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spans="1:26" ht="12.75" customHeight="1" x14ac:dyDescent="0.2">
      <c r="A991" s="115"/>
      <c r="B991" s="115"/>
      <c r="C991" s="115"/>
      <c r="D991" s="115"/>
      <c r="E991" s="11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spans="1:26" ht="12.75" customHeight="1" x14ac:dyDescent="0.2">
      <c r="A992" s="115"/>
      <c r="B992" s="115"/>
      <c r="C992" s="115"/>
      <c r="D992" s="115"/>
      <c r="E992" s="11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spans="1:26" ht="12.75" customHeight="1" x14ac:dyDescent="0.2">
      <c r="A993" s="115"/>
      <c r="B993" s="115"/>
      <c r="C993" s="115"/>
      <c r="D993" s="115"/>
      <c r="E993" s="11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spans="1:26" ht="12.75" customHeight="1" x14ac:dyDescent="0.2">
      <c r="A994" s="115"/>
      <c r="B994" s="115"/>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spans="1:26" ht="12.75" customHeight="1" x14ac:dyDescent="0.2">
      <c r="A995" s="115"/>
      <c r="B995" s="115"/>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spans="1:26" ht="12.75" customHeight="1" x14ac:dyDescent="0.2">
      <c r="A996" s="115"/>
      <c r="B996" s="115"/>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spans="1:26" ht="12.75" customHeight="1" x14ac:dyDescent="0.2">
      <c r="A997" s="115"/>
      <c r="B997" s="115"/>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spans="1:26" ht="12.75" customHeight="1" x14ac:dyDescent="0.2">
      <c r="A998" s="115"/>
      <c r="B998" s="115"/>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spans="1:26" ht="12.75" customHeight="1" x14ac:dyDescent="0.2">
      <c r="A999" s="115"/>
      <c r="B999" s="115"/>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spans="1:26" ht="12.75" customHeight="1" x14ac:dyDescent="0.2">
      <c r="A1000" s="115"/>
      <c r="B1000" s="115"/>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mergeCells count="10">
    <mergeCell ref="A1:F1"/>
    <mergeCell ref="A50:K50"/>
    <mergeCell ref="A53:C53"/>
    <mergeCell ref="A14:F14"/>
    <mergeCell ref="A12:K12"/>
    <mergeCell ref="M4:Q15"/>
    <mergeCell ref="A24:K24"/>
    <mergeCell ref="A26:F26"/>
    <mergeCell ref="A37:F37"/>
    <mergeCell ref="A35:K3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17.25" defaultRowHeight="15" customHeight="1" x14ac:dyDescent="0.2"/>
  <cols>
    <col min="1" max="1" width="13.75" customWidth="1"/>
    <col min="2" max="2" width="7.625" customWidth="1"/>
    <col min="3" max="3" width="6.625" customWidth="1"/>
    <col min="4" max="4" width="8.25" customWidth="1"/>
    <col min="5" max="13" width="10.75" customWidth="1"/>
  </cols>
  <sheetData>
    <row r="1" spans="1:13" ht="18" customHeight="1" x14ac:dyDescent="0.25">
      <c r="A1" s="62"/>
      <c r="B1" s="116" t="s">
        <v>89</v>
      </c>
      <c r="C1" s="102"/>
      <c r="D1" s="102"/>
      <c r="E1" s="102"/>
      <c r="F1" s="102"/>
      <c r="G1" s="102"/>
      <c r="H1" s="102"/>
      <c r="I1" s="102"/>
      <c r="J1" s="102"/>
      <c r="K1" s="102"/>
      <c r="L1" s="102"/>
      <c r="M1" s="102"/>
    </row>
    <row r="2" spans="1:13" ht="15.75" customHeight="1" x14ac:dyDescent="0.25">
      <c r="A2" s="10"/>
      <c r="B2" s="119">
        <v>2004</v>
      </c>
      <c r="C2" s="119">
        <v>2007</v>
      </c>
      <c r="D2" s="119">
        <v>2011</v>
      </c>
      <c r="E2" s="12"/>
      <c r="F2" s="12"/>
      <c r="G2" s="12"/>
      <c r="H2" s="12"/>
      <c r="I2" s="12"/>
      <c r="J2" s="12"/>
      <c r="K2" s="12"/>
      <c r="L2" s="12"/>
      <c r="M2" s="12"/>
    </row>
    <row r="3" spans="1:13" ht="15.75" customHeight="1" x14ac:dyDescent="0.25">
      <c r="A3" s="121" t="s">
        <v>178</v>
      </c>
      <c r="B3" s="108">
        <v>10.6</v>
      </c>
      <c r="C3" s="108">
        <v>18.3</v>
      </c>
      <c r="D3" s="108">
        <v>13.8</v>
      </c>
      <c r="E3" s="83"/>
      <c r="F3" s="123"/>
      <c r="G3" s="123"/>
      <c r="H3" s="123"/>
      <c r="I3" s="123"/>
      <c r="J3" s="123"/>
      <c r="K3" s="123"/>
      <c r="L3" s="123"/>
      <c r="M3" s="123"/>
    </row>
    <row r="4" spans="1:13" ht="15.75" customHeight="1" x14ac:dyDescent="0.25">
      <c r="A4" s="121" t="s">
        <v>103</v>
      </c>
      <c r="B4" s="108">
        <v>5.3</v>
      </c>
      <c r="C4" s="108">
        <v>9.2000000000000011</v>
      </c>
      <c r="D4" s="108">
        <v>10.4</v>
      </c>
      <c r="E4" s="83"/>
      <c r="F4" s="123"/>
      <c r="G4" s="123"/>
      <c r="H4" s="626" t="s">
        <v>8</v>
      </c>
      <c r="I4" s="623"/>
      <c r="J4" s="623"/>
      <c r="K4" s="623"/>
      <c r="L4" s="623"/>
      <c r="M4" s="623"/>
    </row>
    <row r="5" spans="1:13" ht="15.75" customHeight="1" x14ac:dyDescent="0.25">
      <c r="A5" s="121" t="s">
        <v>182</v>
      </c>
      <c r="B5" s="108">
        <v>18.2</v>
      </c>
      <c r="C5" s="108">
        <v>11</v>
      </c>
      <c r="D5" s="108">
        <v>14.7</v>
      </c>
      <c r="E5" s="83"/>
      <c r="F5" s="123"/>
      <c r="G5" s="123"/>
      <c r="H5" s="623"/>
      <c r="I5" s="623"/>
      <c r="J5" s="623"/>
      <c r="K5" s="623"/>
      <c r="L5" s="623"/>
      <c r="M5" s="623"/>
    </row>
    <row r="6" spans="1:13" ht="15.75" customHeight="1" x14ac:dyDescent="0.25">
      <c r="A6" s="121" t="s">
        <v>106</v>
      </c>
      <c r="B6" s="108">
        <v>9.3000000000000007</v>
      </c>
      <c r="C6" s="108">
        <v>7.4</v>
      </c>
      <c r="D6" s="108">
        <v>6.5</v>
      </c>
      <c r="E6" s="83"/>
      <c r="F6" s="123"/>
      <c r="G6" s="123"/>
      <c r="H6" s="623"/>
      <c r="I6" s="623"/>
      <c r="J6" s="623"/>
      <c r="K6" s="623"/>
      <c r="L6" s="623"/>
      <c r="M6" s="623"/>
    </row>
    <row r="7" spans="1:13" ht="15.75" customHeight="1" x14ac:dyDescent="0.25">
      <c r="A7" s="121" t="s">
        <v>186</v>
      </c>
      <c r="B7" s="108">
        <v>9.3000000000000007</v>
      </c>
      <c r="C7" s="108">
        <v>9.4</v>
      </c>
      <c r="D7" s="108">
        <v>6.1</v>
      </c>
      <c r="E7" s="83"/>
      <c r="F7" s="123"/>
      <c r="G7" s="123"/>
      <c r="H7" s="623"/>
      <c r="I7" s="623"/>
      <c r="J7" s="623"/>
      <c r="K7" s="623"/>
      <c r="L7" s="623"/>
      <c r="M7" s="623"/>
    </row>
    <row r="8" spans="1:13" ht="15.75" customHeight="1" x14ac:dyDescent="0.25">
      <c r="A8" s="121" t="s">
        <v>188</v>
      </c>
      <c r="B8" s="108" t="s">
        <v>189</v>
      </c>
      <c r="C8" s="108">
        <v>6.2</v>
      </c>
      <c r="D8" s="108">
        <v>2.9</v>
      </c>
      <c r="E8" s="83"/>
      <c r="F8" s="24"/>
      <c r="G8" s="24"/>
      <c r="H8" s="623"/>
      <c r="I8" s="623"/>
      <c r="J8" s="623"/>
      <c r="K8" s="623"/>
      <c r="L8" s="623"/>
      <c r="M8" s="623"/>
    </row>
    <row r="9" spans="1:13" ht="15.75" customHeight="1" x14ac:dyDescent="0.25">
      <c r="A9" s="121" t="s">
        <v>190</v>
      </c>
      <c r="B9" s="108">
        <v>2.4</v>
      </c>
      <c r="C9" s="108">
        <v>7.6</v>
      </c>
      <c r="D9" s="108">
        <v>2.9</v>
      </c>
      <c r="E9" s="83"/>
      <c r="F9" s="83"/>
      <c r="G9" s="83"/>
      <c r="H9" s="623"/>
      <c r="I9" s="623"/>
      <c r="J9" s="623"/>
      <c r="K9" s="623"/>
      <c r="L9" s="623"/>
      <c r="M9" s="623"/>
    </row>
    <row r="10" spans="1:13" ht="15.75" customHeight="1" x14ac:dyDescent="0.25">
      <c r="A10" s="121" t="s">
        <v>191</v>
      </c>
      <c r="B10" s="108">
        <v>3.5</v>
      </c>
      <c r="C10" s="108">
        <v>3.3</v>
      </c>
      <c r="D10" s="108">
        <v>3.9</v>
      </c>
      <c r="E10" s="83"/>
      <c r="F10" s="83"/>
      <c r="G10" s="83"/>
      <c r="H10" s="623"/>
      <c r="I10" s="623"/>
      <c r="J10" s="623"/>
      <c r="K10" s="623"/>
      <c r="L10" s="623"/>
      <c r="M10" s="623"/>
    </row>
    <row r="11" spans="1:13" ht="15.75" customHeight="1" x14ac:dyDescent="0.25">
      <c r="A11" s="126" t="s">
        <v>192</v>
      </c>
      <c r="B11" s="108">
        <v>4.0999999999999996</v>
      </c>
      <c r="C11" s="108">
        <v>5.9</v>
      </c>
      <c r="D11" s="108">
        <v>3.6</v>
      </c>
      <c r="E11" s="83"/>
      <c r="F11" s="83"/>
      <c r="G11" s="83"/>
      <c r="H11" s="623"/>
      <c r="I11" s="623"/>
      <c r="J11" s="623"/>
      <c r="K11" s="623"/>
      <c r="L11" s="623"/>
      <c r="M11" s="623"/>
    </row>
    <row r="12" spans="1:13" ht="15.75" customHeight="1" x14ac:dyDescent="0.25">
      <c r="A12" s="121" t="s">
        <v>193</v>
      </c>
      <c r="B12" s="108" t="s">
        <v>189</v>
      </c>
      <c r="C12" s="108">
        <v>4.9000000000000004</v>
      </c>
      <c r="D12" s="108">
        <v>2.8</v>
      </c>
      <c r="E12" s="83"/>
      <c r="F12" s="83"/>
      <c r="G12" s="83"/>
      <c r="H12" s="623"/>
      <c r="I12" s="623"/>
      <c r="J12" s="623"/>
      <c r="K12" s="623"/>
      <c r="L12" s="623"/>
      <c r="M12" s="623"/>
    </row>
    <row r="13" spans="1:13" ht="15.75" customHeight="1" x14ac:dyDescent="0.25">
      <c r="A13" s="121" t="s">
        <v>194</v>
      </c>
      <c r="B13" s="108">
        <v>2.6</v>
      </c>
      <c r="C13" s="108">
        <v>2.4</v>
      </c>
      <c r="D13" s="108">
        <v>1.5</v>
      </c>
      <c r="E13" s="83"/>
      <c r="F13" s="83"/>
      <c r="G13" s="83"/>
      <c r="H13" s="623"/>
      <c r="I13" s="623"/>
      <c r="J13" s="623"/>
      <c r="K13" s="623"/>
      <c r="L13" s="623"/>
      <c r="M13" s="623"/>
    </row>
    <row r="14" spans="1:13" ht="15.75" customHeight="1" x14ac:dyDescent="0.25">
      <c r="A14" s="121" t="s">
        <v>196</v>
      </c>
      <c r="B14" s="108" t="s">
        <v>189</v>
      </c>
      <c r="C14" s="108" t="s">
        <v>189</v>
      </c>
      <c r="D14" s="108">
        <v>2</v>
      </c>
      <c r="E14" s="83"/>
      <c r="F14" s="83"/>
      <c r="G14" s="83"/>
      <c r="H14" s="623"/>
      <c r="I14" s="623"/>
      <c r="J14" s="623"/>
      <c r="K14" s="623"/>
      <c r="L14" s="623"/>
      <c r="M14" s="623"/>
    </row>
    <row r="15" spans="1:13" ht="15.75" customHeight="1" x14ac:dyDescent="0.25">
      <c r="A15" s="121" t="s">
        <v>110</v>
      </c>
      <c r="B15" s="108">
        <v>32.6</v>
      </c>
      <c r="C15" s="108">
        <v>14.4</v>
      </c>
      <c r="D15" s="108">
        <v>31.1</v>
      </c>
      <c r="E15" s="83"/>
      <c r="F15" s="83"/>
      <c r="G15" s="83"/>
      <c r="H15" s="83"/>
      <c r="I15" s="83"/>
      <c r="J15" s="83"/>
      <c r="K15" s="83"/>
      <c r="L15" s="83"/>
      <c r="M15" s="83"/>
    </row>
    <row r="16" spans="1:13" ht="15.75" customHeight="1" x14ac:dyDescent="0.25">
      <c r="A16" s="121"/>
      <c r="B16" s="108"/>
      <c r="C16" s="108"/>
      <c r="D16" s="108"/>
      <c r="E16" s="83"/>
      <c r="F16" s="83"/>
      <c r="G16" s="83"/>
      <c r="H16" s="83"/>
      <c r="I16" s="83"/>
      <c r="J16" s="83"/>
      <c r="K16" s="83"/>
      <c r="L16" s="83"/>
      <c r="M16" s="83"/>
    </row>
    <row r="17" spans="1:13" ht="15.75" customHeight="1" x14ac:dyDescent="0.25">
      <c r="A17" s="121"/>
      <c r="B17" s="108"/>
      <c r="C17" s="108"/>
      <c r="D17" s="108"/>
      <c r="E17" s="83"/>
      <c r="F17" s="83"/>
      <c r="G17" s="83"/>
      <c r="H17" s="83"/>
      <c r="I17" s="83"/>
      <c r="J17" s="83"/>
      <c r="K17" s="83"/>
      <c r="L17" s="83"/>
      <c r="M17" s="83"/>
    </row>
    <row r="18" spans="1:13" ht="15.75" customHeight="1" x14ac:dyDescent="0.25">
      <c r="A18" s="121"/>
      <c r="B18" s="108"/>
      <c r="C18" s="108"/>
      <c r="D18" s="108"/>
      <c r="E18" s="83"/>
      <c r="F18" s="83"/>
      <c r="G18" s="83"/>
      <c r="H18" s="83"/>
      <c r="I18" s="83"/>
      <c r="J18" s="83"/>
      <c r="K18" s="83"/>
      <c r="L18" s="83"/>
      <c r="M18" s="83"/>
    </row>
    <row r="19" spans="1:13" ht="15.75" customHeight="1" x14ac:dyDescent="0.25">
      <c r="A19" s="131" t="s">
        <v>42</v>
      </c>
      <c r="B19" s="108">
        <f>SUM(B3+B5+B6+B7)</f>
        <v>47.399999999999991</v>
      </c>
      <c r="C19" s="108">
        <f>SUM(C3+C5+C7+C4)</f>
        <v>47.900000000000006</v>
      </c>
      <c r="D19" s="108">
        <f>SUM(D3+D5+D4+D6)</f>
        <v>45.4</v>
      </c>
      <c r="E19" s="83"/>
      <c r="F19" s="83"/>
      <c r="G19" s="83"/>
      <c r="H19" s="83"/>
      <c r="I19" s="83"/>
      <c r="J19" s="83"/>
      <c r="K19" s="83"/>
      <c r="L19" s="83"/>
      <c r="M19" s="83"/>
    </row>
    <row r="20" spans="1:13" ht="15.75" customHeight="1" x14ac:dyDescent="0.25">
      <c r="A20" s="131" t="s">
        <v>43</v>
      </c>
      <c r="B20" s="108">
        <f t="shared" ref="B20:D20" si="0">SUMSQ(B3:B14)</f>
        <v>686.24999999999989</v>
      </c>
      <c r="C20" s="108">
        <f t="shared" si="0"/>
        <v>855.32000000000016</v>
      </c>
      <c r="D20" s="108">
        <f t="shared" si="0"/>
        <v>653.23000000000013</v>
      </c>
      <c r="E20" s="83"/>
      <c r="F20" s="83"/>
      <c r="G20" s="83"/>
      <c r="H20" s="83"/>
      <c r="I20" s="83"/>
      <c r="J20" s="83"/>
      <c r="K20" s="83"/>
      <c r="L20" s="83"/>
      <c r="M20" s="83"/>
    </row>
    <row r="21" spans="1:13" ht="15.75" customHeight="1" x14ac:dyDescent="0.25">
      <c r="A21" s="88"/>
      <c r="B21" s="83"/>
      <c r="C21" s="83"/>
      <c r="D21" s="83"/>
      <c r="E21" s="83"/>
      <c r="F21" s="83"/>
      <c r="G21" s="83"/>
      <c r="H21" s="83"/>
      <c r="I21" s="83"/>
      <c r="J21" s="83"/>
      <c r="K21" s="83"/>
      <c r="L21" s="83"/>
      <c r="M21" s="83"/>
    </row>
    <row r="22" spans="1:13" ht="15.75" customHeight="1" x14ac:dyDescent="0.25">
      <c r="A22" s="88"/>
      <c r="B22" s="649" t="s">
        <v>206</v>
      </c>
      <c r="C22" s="623"/>
      <c r="D22" s="623"/>
      <c r="E22" s="623"/>
      <c r="F22" s="623"/>
      <c r="G22" s="3"/>
      <c r="H22" s="3"/>
      <c r="I22" s="3"/>
      <c r="J22" s="3"/>
      <c r="K22" s="3"/>
      <c r="L22" s="3"/>
      <c r="M22" s="3"/>
    </row>
    <row r="23" spans="1:13" ht="15.75" customHeight="1" x14ac:dyDescent="0.25">
      <c r="A23" s="3"/>
      <c r="B23" s="650" t="s">
        <v>211</v>
      </c>
      <c r="C23" s="623"/>
      <c r="D23" s="623"/>
      <c r="E23" s="623"/>
      <c r="F23" s="623"/>
      <c r="G23" s="142"/>
      <c r="H23" s="142"/>
      <c r="I23" s="142"/>
      <c r="J23" s="142"/>
      <c r="K23" s="142"/>
      <c r="L23" s="142"/>
      <c r="M23" s="142"/>
    </row>
    <row r="24" spans="1:13" ht="15.75" customHeight="1" x14ac:dyDescent="0.25">
      <c r="A24" s="3"/>
      <c r="B24" s="623"/>
      <c r="C24" s="623"/>
      <c r="D24" s="623"/>
      <c r="E24" s="623"/>
      <c r="F24" s="623"/>
      <c r="G24" s="142"/>
      <c r="H24" s="142"/>
      <c r="I24" s="142"/>
      <c r="J24" s="142"/>
      <c r="K24" s="142"/>
      <c r="L24" s="142"/>
      <c r="M24" s="142"/>
    </row>
    <row r="25" spans="1:13" ht="15.75" customHeight="1" x14ac:dyDescent="0.25">
      <c r="A25" s="3"/>
      <c r="B25" s="623"/>
      <c r="C25" s="623"/>
      <c r="D25" s="623"/>
      <c r="E25" s="623"/>
      <c r="F25" s="623"/>
      <c r="G25" s="142"/>
      <c r="H25" s="142"/>
      <c r="I25" s="142"/>
      <c r="J25" s="142"/>
      <c r="K25" s="142"/>
      <c r="L25" s="142"/>
      <c r="M25" s="142"/>
    </row>
    <row r="26" spans="1:13" ht="15.75" customHeight="1" x14ac:dyDescent="0.25">
      <c r="A26" s="3"/>
      <c r="B26" s="623"/>
      <c r="C26" s="623"/>
      <c r="D26" s="623"/>
      <c r="E26" s="623"/>
      <c r="F26" s="623"/>
      <c r="G26" s="142"/>
      <c r="H26" s="142"/>
      <c r="I26" s="142"/>
      <c r="J26" s="142"/>
      <c r="K26" s="142"/>
      <c r="L26" s="142"/>
      <c r="M26" s="142"/>
    </row>
    <row r="27" spans="1:13" ht="15.75" customHeight="1" x14ac:dyDescent="0.25">
      <c r="A27" s="3"/>
      <c r="B27" s="623"/>
      <c r="C27" s="623"/>
      <c r="D27" s="623"/>
      <c r="E27" s="623"/>
      <c r="F27" s="623"/>
      <c r="G27" s="142"/>
      <c r="H27" s="142"/>
      <c r="I27" s="142"/>
      <c r="J27" s="142"/>
      <c r="K27" s="142"/>
      <c r="L27" s="142"/>
      <c r="M27" s="142"/>
    </row>
    <row r="28" spans="1:13" ht="15.75" customHeight="1" x14ac:dyDescent="0.25">
      <c r="A28" s="3"/>
      <c r="B28" s="623"/>
      <c r="C28" s="623"/>
      <c r="D28" s="623"/>
      <c r="E28" s="623"/>
      <c r="F28" s="623"/>
      <c r="G28" s="142"/>
      <c r="H28" s="142"/>
      <c r="I28" s="142"/>
      <c r="J28" s="142"/>
      <c r="K28" s="142"/>
      <c r="L28" s="142"/>
      <c r="M28" s="142"/>
    </row>
    <row r="29" spans="1:13" ht="15.75" customHeight="1" x14ac:dyDescent="0.25">
      <c r="A29" s="3"/>
      <c r="B29" s="623"/>
      <c r="C29" s="623"/>
      <c r="D29" s="623"/>
      <c r="E29" s="623"/>
      <c r="F29" s="623"/>
      <c r="G29" s="142"/>
      <c r="H29" s="142"/>
      <c r="I29" s="142"/>
      <c r="J29" s="142"/>
      <c r="K29" s="142"/>
      <c r="L29" s="142"/>
      <c r="M29" s="142"/>
    </row>
    <row r="30" spans="1:13" ht="15.75" customHeight="1" x14ac:dyDescent="0.25">
      <c r="A30" s="3"/>
      <c r="B30" s="623"/>
      <c r="C30" s="623"/>
      <c r="D30" s="623"/>
      <c r="E30" s="623"/>
      <c r="F30" s="623"/>
      <c r="G30" s="142"/>
      <c r="H30" s="142"/>
      <c r="I30" s="142"/>
      <c r="J30" s="142"/>
      <c r="K30" s="142"/>
      <c r="L30" s="142"/>
      <c r="M30" s="142"/>
    </row>
    <row r="31" spans="1:13" ht="15.75" customHeight="1" x14ac:dyDescent="0.25">
      <c r="A31" s="3"/>
      <c r="B31" s="623"/>
      <c r="C31" s="623"/>
      <c r="D31" s="623"/>
      <c r="E31" s="623"/>
      <c r="F31" s="623"/>
      <c r="G31" s="142"/>
      <c r="H31" s="142"/>
      <c r="I31" s="142"/>
      <c r="J31" s="142"/>
      <c r="K31" s="142"/>
      <c r="L31" s="142"/>
      <c r="M31" s="142"/>
    </row>
    <row r="32" spans="1:13" ht="15.75" customHeight="1" x14ac:dyDescent="0.25">
      <c r="A32" s="3"/>
      <c r="B32" s="623"/>
      <c r="C32" s="623"/>
      <c r="D32" s="623"/>
      <c r="E32" s="623"/>
      <c r="F32" s="623"/>
      <c r="G32" s="142"/>
      <c r="H32" s="142"/>
      <c r="I32" s="142"/>
      <c r="J32" s="142"/>
      <c r="K32" s="142"/>
      <c r="L32" s="142"/>
      <c r="M32" s="142"/>
    </row>
    <row r="33" spans="1:13" ht="15.75" customHeight="1" x14ac:dyDescent="0.25">
      <c r="A33" s="3"/>
      <c r="B33" s="623"/>
      <c r="C33" s="623"/>
      <c r="D33" s="623"/>
      <c r="E33" s="623"/>
      <c r="F33" s="623"/>
      <c r="G33" s="142"/>
      <c r="H33" s="142"/>
      <c r="I33" s="142"/>
      <c r="J33" s="142"/>
      <c r="K33" s="142"/>
      <c r="L33" s="142"/>
      <c r="M33" s="142"/>
    </row>
    <row r="34" spans="1:13" ht="15.75" customHeight="1" x14ac:dyDescent="0.25">
      <c r="A34" s="3"/>
      <c r="B34" s="623"/>
      <c r="C34" s="623"/>
      <c r="D34" s="623"/>
      <c r="E34" s="623"/>
      <c r="F34" s="623"/>
      <c r="G34" s="142"/>
      <c r="H34" s="142"/>
      <c r="I34" s="142"/>
      <c r="J34" s="142"/>
      <c r="K34" s="142"/>
      <c r="L34" s="142"/>
      <c r="M34" s="142"/>
    </row>
    <row r="35" spans="1:13" ht="15.75" customHeight="1" x14ac:dyDescent="0.25">
      <c r="A35" s="3"/>
      <c r="B35" s="623"/>
      <c r="C35" s="623"/>
      <c r="D35" s="623"/>
      <c r="E35" s="623"/>
      <c r="F35" s="623"/>
      <c r="G35" s="142"/>
      <c r="H35" s="142"/>
      <c r="I35" s="142"/>
      <c r="J35" s="142"/>
      <c r="K35" s="142"/>
      <c r="L35" s="142"/>
      <c r="M35" s="142"/>
    </row>
    <row r="36" spans="1:13" ht="15.75" customHeight="1" x14ac:dyDescent="0.25">
      <c r="A36" s="3"/>
      <c r="B36" s="623"/>
      <c r="C36" s="623"/>
      <c r="D36" s="623"/>
      <c r="E36" s="623"/>
      <c r="F36" s="623"/>
      <c r="G36" s="142"/>
      <c r="H36" s="142"/>
      <c r="I36" s="142"/>
      <c r="J36" s="142"/>
      <c r="K36" s="142"/>
      <c r="L36" s="142"/>
      <c r="M36" s="142"/>
    </row>
    <row r="37" spans="1:13" ht="15.75" customHeight="1" x14ac:dyDescent="0.25">
      <c r="A37" s="3"/>
      <c r="B37" s="623"/>
      <c r="C37" s="623"/>
      <c r="D37" s="623"/>
      <c r="E37" s="623"/>
      <c r="F37" s="623"/>
      <c r="G37" s="142"/>
      <c r="H37" s="142"/>
      <c r="I37" s="142"/>
      <c r="J37" s="142"/>
      <c r="K37" s="142"/>
      <c r="L37" s="142"/>
      <c r="M37" s="142"/>
    </row>
    <row r="38" spans="1:13" ht="15.75" customHeight="1" x14ac:dyDescent="0.25">
      <c r="A38" s="3"/>
      <c r="B38" s="623"/>
      <c r="C38" s="623"/>
      <c r="D38" s="623"/>
      <c r="E38" s="623"/>
      <c r="F38" s="623"/>
      <c r="G38" s="142"/>
      <c r="H38" s="142"/>
      <c r="I38" s="142"/>
      <c r="J38" s="142"/>
      <c r="K38" s="142"/>
      <c r="L38" s="142"/>
      <c r="M38" s="142"/>
    </row>
    <row r="39" spans="1:13" ht="15.75" customHeight="1" x14ac:dyDescent="0.25">
      <c r="A39" s="3"/>
      <c r="B39" s="623"/>
      <c r="C39" s="623"/>
      <c r="D39" s="623"/>
      <c r="E39" s="623"/>
      <c r="F39" s="623"/>
      <c r="G39" s="142"/>
      <c r="H39" s="142"/>
      <c r="I39" s="142"/>
      <c r="J39" s="142"/>
      <c r="K39" s="142"/>
      <c r="L39" s="142"/>
      <c r="M39" s="142"/>
    </row>
    <row r="40" spans="1:13" ht="15.75" customHeight="1" x14ac:dyDescent="0.25">
      <c r="A40" s="3"/>
      <c r="B40" s="623"/>
      <c r="C40" s="623"/>
      <c r="D40" s="623"/>
      <c r="E40" s="623"/>
      <c r="F40" s="623"/>
      <c r="G40" s="142"/>
      <c r="H40" s="142"/>
      <c r="I40" s="142"/>
      <c r="J40" s="142"/>
      <c r="K40" s="142"/>
      <c r="L40" s="142"/>
      <c r="M40" s="142"/>
    </row>
    <row r="41" spans="1:13" ht="15.75" customHeight="1" x14ac:dyDescent="0.25">
      <c r="A41" s="3"/>
      <c r="B41" s="623"/>
      <c r="C41" s="623"/>
      <c r="D41" s="623"/>
      <c r="E41" s="623"/>
      <c r="F41" s="623"/>
      <c r="G41" s="142"/>
      <c r="H41" s="142"/>
      <c r="I41" s="142"/>
      <c r="J41" s="142"/>
      <c r="K41" s="142"/>
      <c r="L41" s="142"/>
      <c r="M41" s="142"/>
    </row>
    <row r="42" spans="1:13" ht="15.75" customHeight="1" x14ac:dyDescent="0.25">
      <c r="A42" s="3"/>
      <c r="B42" s="623"/>
      <c r="C42" s="623"/>
      <c r="D42" s="623"/>
      <c r="E42" s="623"/>
      <c r="F42" s="623"/>
      <c r="G42" s="142"/>
      <c r="H42" s="142"/>
      <c r="I42" s="142"/>
      <c r="J42" s="142"/>
      <c r="K42" s="142"/>
      <c r="L42" s="142"/>
      <c r="M42" s="142"/>
    </row>
    <row r="43" spans="1:13" ht="15.75" customHeight="1" x14ac:dyDescent="0.25">
      <c r="A43" s="3"/>
      <c r="B43" s="623"/>
      <c r="C43" s="623"/>
      <c r="D43" s="623"/>
      <c r="E43" s="623"/>
      <c r="F43" s="623"/>
      <c r="G43" s="142"/>
      <c r="H43" s="142"/>
      <c r="I43" s="142"/>
      <c r="J43" s="142"/>
      <c r="K43" s="142"/>
      <c r="L43" s="142"/>
      <c r="M43" s="142"/>
    </row>
    <row r="44" spans="1:13" ht="15.75" customHeight="1" x14ac:dyDescent="0.25">
      <c r="A44" s="3"/>
      <c r="B44" s="623"/>
      <c r="C44" s="623"/>
      <c r="D44" s="623"/>
      <c r="E44" s="623"/>
      <c r="F44" s="623"/>
      <c r="G44" s="142"/>
      <c r="H44" s="142"/>
      <c r="I44" s="142"/>
      <c r="J44" s="142"/>
      <c r="K44" s="142"/>
      <c r="L44" s="142"/>
      <c r="M44" s="142"/>
    </row>
    <row r="45" spans="1:13" ht="15.75" customHeight="1" x14ac:dyDescent="0.25">
      <c r="A45" s="3"/>
      <c r="B45" s="623"/>
      <c r="C45" s="623"/>
      <c r="D45" s="623"/>
      <c r="E45" s="623"/>
      <c r="F45" s="623"/>
      <c r="G45" s="142"/>
      <c r="H45" s="142"/>
      <c r="I45" s="142"/>
      <c r="J45" s="142"/>
      <c r="K45" s="142"/>
      <c r="L45" s="142"/>
      <c r="M45" s="142"/>
    </row>
    <row r="46" spans="1:13" ht="15.75" customHeight="1" x14ac:dyDescent="0.25">
      <c r="A46" s="3"/>
      <c r="B46" s="623"/>
      <c r="C46" s="623"/>
      <c r="D46" s="623"/>
      <c r="E46" s="623"/>
      <c r="F46" s="623"/>
      <c r="G46" s="142"/>
      <c r="H46" s="142"/>
      <c r="I46" s="142"/>
      <c r="J46" s="142"/>
      <c r="K46" s="142"/>
      <c r="L46" s="142"/>
      <c r="M46" s="142"/>
    </row>
    <row r="47" spans="1:13" ht="15.75" customHeight="1" x14ac:dyDescent="0.25">
      <c r="A47" s="3"/>
      <c r="B47" s="623"/>
      <c r="C47" s="623"/>
      <c r="D47" s="623"/>
      <c r="E47" s="623"/>
      <c r="F47" s="623"/>
      <c r="G47" s="142"/>
      <c r="H47" s="142"/>
      <c r="I47" s="142"/>
      <c r="J47" s="142"/>
      <c r="K47" s="142"/>
      <c r="L47" s="142"/>
      <c r="M47" s="142"/>
    </row>
    <row r="48" spans="1:13" ht="15.75" customHeight="1" x14ac:dyDescent="0.25">
      <c r="A48" s="3"/>
      <c r="B48" s="623"/>
      <c r="C48" s="623"/>
      <c r="D48" s="623"/>
      <c r="E48" s="623"/>
      <c r="F48" s="623"/>
      <c r="G48" s="142"/>
      <c r="H48" s="142"/>
      <c r="I48" s="142"/>
      <c r="J48" s="142"/>
      <c r="K48" s="142"/>
      <c r="L48" s="142"/>
      <c r="M48" s="142"/>
    </row>
    <row r="49" spans="1:13" ht="15.75" customHeight="1" x14ac:dyDescent="0.25">
      <c r="A49" s="3"/>
      <c r="B49" s="623"/>
      <c r="C49" s="623"/>
      <c r="D49" s="623"/>
      <c r="E49" s="623"/>
      <c r="F49" s="623"/>
      <c r="G49" s="142"/>
      <c r="H49" s="142"/>
      <c r="I49" s="142"/>
      <c r="J49" s="142"/>
      <c r="K49" s="142"/>
      <c r="L49" s="142"/>
      <c r="M49" s="142"/>
    </row>
    <row r="50" spans="1:13" ht="15.75" customHeight="1" x14ac:dyDescent="0.25">
      <c r="A50" s="3"/>
      <c r="B50" s="623"/>
      <c r="C50" s="623"/>
      <c r="D50" s="623"/>
      <c r="E50" s="623"/>
      <c r="F50" s="623"/>
      <c r="G50" s="142"/>
      <c r="H50" s="142"/>
      <c r="I50" s="142"/>
      <c r="J50" s="142"/>
      <c r="K50" s="142"/>
      <c r="L50" s="142"/>
      <c r="M50" s="142"/>
    </row>
    <row r="51" spans="1:13" ht="15.75" customHeight="1" x14ac:dyDescent="0.25">
      <c r="A51" s="3"/>
      <c r="B51" s="623"/>
      <c r="C51" s="623"/>
      <c r="D51" s="623"/>
      <c r="E51" s="623"/>
      <c r="F51" s="623"/>
      <c r="G51" s="142"/>
      <c r="H51" s="142"/>
      <c r="I51" s="142"/>
      <c r="J51" s="142"/>
      <c r="K51" s="142"/>
      <c r="L51" s="142"/>
      <c r="M51" s="142"/>
    </row>
    <row r="52" spans="1:13" ht="15.75" customHeight="1" x14ac:dyDescent="0.25">
      <c r="A52" s="3"/>
      <c r="B52" s="623"/>
      <c r="C52" s="623"/>
      <c r="D52" s="623"/>
      <c r="E52" s="623"/>
      <c r="F52" s="623"/>
      <c r="G52" s="142"/>
      <c r="H52" s="142"/>
      <c r="I52" s="142"/>
      <c r="J52" s="142"/>
      <c r="K52" s="142"/>
      <c r="L52" s="142"/>
      <c r="M52" s="142"/>
    </row>
    <row r="53" spans="1:13" ht="15.75" customHeight="1" x14ac:dyDescent="0.25">
      <c r="A53" s="3"/>
      <c r="B53" s="623"/>
      <c r="C53" s="623"/>
      <c r="D53" s="623"/>
      <c r="E53" s="623"/>
      <c r="F53" s="623"/>
      <c r="G53" s="142"/>
      <c r="H53" s="142"/>
      <c r="I53" s="142"/>
      <c r="J53" s="142"/>
      <c r="K53" s="142"/>
      <c r="L53" s="142"/>
      <c r="M53" s="142"/>
    </row>
  </sheetData>
  <mergeCells count="3">
    <mergeCell ref="B22:F22"/>
    <mergeCell ref="B23:F53"/>
    <mergeCell ref="H4:M1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64"/>
  <sheetViews>
    <sheetView workbookViewId="0">
      <selection activeCell="I31" sqref="I31"/>
    </sheetView>
  </sheetViews>
  <sheetFormatPr defaultColWidth="17.25" defaultRowHeight="15" customHeight="1" x14ac:dyDescent="0.2"/>
  <cols>
    <col min="1" max="1" width="14.75" customWidth="1"/>
    <col min="2" max="2" width="13.75" customWidth="1"/>
    <col min="3" max="3" width="17.25" customWidth="1"/>
    <col min="4" max="4" width="10.75" customWidth="1"/>
    <col min="5" max="5" width="16.125" customWidth="1"/>
    <col min="6" max="7" width="10.75" customWidth="1"/>
    <col min="8" max="8" width="13.125" customWidth="1"/>
    <col min="9" max="10" width="10.75" customWidth="1"/>
    <col min="11" max="11" width="14.75" customWidth="1"/>
    <col min="12" max="12" width="13.75" customWidth="1"/>
    <col min="13" max="13" width="17.25" customWidth="1"/>
    <col min="14" max="17" width="10.75" customWidth="1"/>
    <col min="18" max="18" width="13.125" customWidth="1"/>
    <col min="19" max="20" width="10.75" customWidth="1"/>
    <col min="21" max="21" width="14.75" customWidth="1"/>
    <col min="22" max="22" width="13.75" customWidth="1"/>
    <col min="23" max="23" width="17.25" customWidth="1"/>
    <col min="24" max="24" width="14.125" customWidth="1"/>
    <col min="25" max="27" width="10.75" customWidth="1"/>
    <col min="28" max="28" width="13.125" customWidth="1"/>
    <col min="29" max="30" width="10.75" customWidth="1"/>
    <col min="31" max="31" width="14.75" customWidth="1"/>
    <col min="32" max="32" width="13.75" customWidth="1"/>
    <col min="33" max="33" width="17.25" customWidth="1"/>
    <col min="34" max="35" width="10.75" customWidth="1"/>
    <col min="36" max="36" width="15.375" customWidth="1"/>
    <col min="37" max="38" width="10.75" customWidth="1"/>
    <col min="39" max="39" width="13.125" customWidth="1"/>
    <col min="40" max="40" width="10.75" customWidth="1"/>
    <col min="41" max="41" width="10.875" customWidth="1"/>
    <col min="42" max="42" width="14.75" customWidth="1"/>
    <col min="43" max="43" width="13.75" customWidth="1"/>
    <col min="44" max="44" width="17.25" customWidth="1"/>
    <col min="45" max="46" width="10.75" customWidth="1"/>
    <col min="47" max="47" width="15.375" customWidth="1"/>
    <col min="48" max="49" width="10.75" customWidth="1"/>
    <col min="50" max="50" width="13.125" customWidth="1"/>
    <col min="51" max="53" width="10.75" customWidth="1"/>
    <col min="54" max="54" width="18.125" customWidth="1"/>
    <col min="55" max="55" width="13.75" customWidth="1"/>
    <col min="56" max="56" width="17.25" customWidth="1"/>
    <col min="57" max="58" width="10.75" customWidth="1"/>
    <col min="59" max="59" width="16.125" customWidth="1"/>
    <col min="60" max="61" width="10.75" customWidth="1"/>
    <col min="62" max="62" width="13.125" customWidth="1"/>
    <col min="63" max="63" width="10.75" customWidth="1"/>
    <col min="64" max="64" width="20" customWidth="1"/>
    <col min="65" max="65" width="10.75" customWidth="1"/>
    <col min="66" max="66" width="27.625" customWidth="1"/>
    <col min="67" max="67" width="11.625" customWidth="1"/>
    <col min="68" max="68" width="17.25" customWidth="1"/>
    <col min="69" max="70" width="10.75" customWidth="1"/>
    <col min="71" max="71" width="15.375" customWidth="1"/>
    <col min="72" max="72" width="16.875" customWidth="1"/>
    <col min="73" max="74" width="10.75" customWidth="1"/>
    <col min="75" max="75" width="13.125" customWidth="1"/>
    <col min="76" max="76" width="20" customWidth="1"/>
    <col min="77" max="77" width="10.75" customWidth="1"/>
    <col min="78" max="78" width="16.125" customWidth="1"/>
    <col min="79" max="79" width="13.75" customWidth="1"/>
    <col min="80" max="80" width="17.25" customWidth="1"/>
    <col min="81" max="81" width="13.625" customWidth="1"/>
    <col min="82" max="82" width="10.75" customWidth="1"/>
    <col min="83" max="83" width="15.375" customWidth="1"/>
    <col min="84" max="84" width="16.125" customWidth="1"/>
    <col min="85" max="86" width="10.75" customWidth="1"/>
    <col min="87" max="87" width="13.125" customWidth="1"/>
    <col min="88" max="88" width="20" customWidth="1"/>
    <col min="89" max="89" width="10.75" customWidth="1"/>
    <col min="90" max="90" width="27.625" customWidth="1"/>
    <col min="91" max="91" width="11.625" customWidth="1"/>
    <col min="92" max="92" width="17.25" customWidth="1"/>
    <col min="93" max="94" width="10.75" customWidth="1"/>
    <col min="95" max="95" width="15.375" customWidth="1"/>
    <col min="96" max="96" width="16.875" customWidth="1"/>
    <col min="97" max="98" width="10.75" customWidth="1"/>
    <col min="99" max="99" width="13.125" customWidth="1"/>
    <col min="100" max="100" width="20" customWidth="1"/>
    <col min="101" max="101" width="10.75" customWidth="1"/>
    <col min="102" max="102" width="27.625" customWidth="1"/>
    <col min="103" max="103" width="11.625" customWidth="1"/>
    <col min="104" max="104" width="17.25" customWidth="1"/>
    <col min="105" max="106" width="10.75" customWidth="1"/>
    <col min="107" max="107" width="28.875" customWidth="1"/>
    <col min="108" max="108" width="16.875" customWidth="1"/>
    <col min="109" max="110" width="10.75" customWidth="1"/>
    <col min="111" max="111" width="13.125" customWidth="1"/>
    <col min="112" max="112" width="20" customWidth="1"/>
    <col min="113" max="113" width="10.75" customWidth="1"/>
    <col min="114" max="114" width="27.625" customWidth="1"/>
    <col min="115" max="115" width="13.375" customWidth="1"/>
    <col min="116" max="116" width="17.25" customWidth="1"/>
    <col min="117" max="117" width="12" customWidth="1"/>
    <col min="118" max="118" width="11.625" customWidth="1"/>
    <col min="119" max="119" width="18.125" customWidth="1"/>
    <col min="120" max="120" width="19.875" customWidth="1"/>
    <col min="121" max="121" width="10.375" customWidth="1"/>
    <col min="122" max="122" width="9.375" customWidth="1"/>
    <col min="123" max="123" width="18.375" customWidth="1"/>
    <col min="124" max="124" width="26.75" customWidth="1"/>
    <col min="125" max="126" width="10.75" customWidth="1"/>
    <col min="127" max="127" width="37" customWidth="1"/>
    <col min="128" max="128" width="14.25" customWidth="1"/>
    <col min="129" max="129" width="20.375" customWidth="1"/>
    <col min="130" max="130" width="13.625" customWidth="1"/>
    <col min="131" max="131" width="14.25" customWidth="1"/>
    <col min="132" max="132" width="23.125" customWidth="1"/>
    <col min="133" max="133" width="19.875" customWidth="1"/>
    <col min="134" max="134" width="10.375" customWidth="1"/>
    <col min="135" max="135" width="11.625" customWidth="1"/>
    <col min="136" max="136" width="15.375" customWidth="1"/>
    <col min="137" max="144" width="24.375" customWidth="1"/>
  </cols>
  <sheetData>
    <row r="1" spans="1:144" ht="18" customHeight="1" x14ac:dyDescent="0.25">
      <c r="A1" s="62">
        <v>1984</v>
      </c>
      <c r="B1" s="62" t="s">
        <v>91</v>
      </c>
      <c r="C1" s="62" t="s">
        <v>92</v>
      </c>
      <c r="D1" s="62" t="s">
        <v>93</v>
      </c>
      <c r="E1" s="62" t="s">
        <v>94</v>
      </c>
      <c r="F1" s="62" t="s">
        <v>95</v>
      </c>
      <c r="G1" s="62" t="s">
        <v>96</v>
      </c>
      <c r="H1" s="62" t="s">
        <v>98</v>
      </c>
      <c r="I1" s="62" t="s">
        <v>99</v>
      </c>
      <c r="J1" s="62"/>
      <c r="K1" s="62">
        <v>1988</v>
      </c>
      <c r="L1" s="62" t="s">
        <v>100</v>
      </c>
      <c r="M1" s="62" t="s">
        <v>92</v>
      </c>
      <c r="N1" s="62" t="s">
        <v>93</v>
      </c>
      <c r="O1" s="62" t="s">
        <v>102</v>
      </c>
      <c r="P1" s="62" t="s">
        <v>95</v>
      </c>
      <c r="Q1" s="62" t="s">
        <v>96</v>
      </c>
      <c r="R1" s="62" t="s">
        <v>98</v>
      </c>
      <c r="S1" s="62" t="s">
        <v>99</v>
      </c>
      <c r="T1" s="62"/>
      <c r="U1" s="89">
        <v>1992</v>
      </c>
      <c r="V1" s="62" t="s">
        <v>91</v>
      </c>
      <c r="W1" s="62" t="s">
        <v>92</v>
      </c>
      <c r="X1" s="62" t="s">
        <v>93</v>
      </c>
      <c r="Y1" s="62" t="s">
        <v>102</v>
      </c>
      <c r="Z1" s="62" t="s">
        <v>95</v>
      </c>
      <c r="AA1" s="62" t="s">
        <v>96</v>
      </c>
      <c r="AB1" s="62" t="s">
        <v>98</v>
      </c>
      <c r="AC1" s="62" t="s">
        <v>99</v>
      </c>
      <c r="AD1" s="62"/>
      <c r="AE1" s="102">
        <v>1996</v>
      </c>
      <c r="AF1" s="62" t="s">
        <v>91</v>
      </c>
      <c r="AG1" s="62" t="s">
        <v>92</v>
      </c>
      <c r="AH1" s="62" t="s">
        <v>93</v>
      </c>
      <c r="AI1" s="62" t="s">
        <v>102</v>
      </c>
      <c r="AJ1" s="62" t="s">
        <v>146</v>
      </c>
      <c r="AK1" s="62" t="s">
        <v>95</v>
      </c>
      <c r="AL1" s="62" t="s">
        <v>96</v>
      </c>
      <c r="AM1" s="62" t="s">
        <v>98</v>
      </c>
      <c r="AN1" s="62" t="s">
        <v>99</v>
      </c>
      <c r="AO1" s="62"/>
      <c r="AP1" s="102">
        <v>2000</v>
      </c>
      <c r="AQ1" s="62" t="s">
        <v>91</v>
      </c>
      <c r="AR1" s="62" t="s">
        <v>92</v>
      </c>
      <c r="AS1" s="62" t="s">
        <v>93</v>
      </c>
      <c r="AT1" s="62" t="s">
        <v>102</v>
      </c>
      <c r="AU1" s="62" t="s">
        <v>146</v>
      </c>
      <c r="AV1" s="62" t="s">
        <v>95</v>
      </c>
      <c r="AW1" s="62" t="s">
        <v>96</v>
      </c>
      <c r="AX1" s="62" t="s">
        <v>98</v>
      </c>
      <c r="AY1" s="62" t="s">
        <v>99</v>
      </c>
      <c r="AZ1" s="62"/>
      <c r="BA1" s="62"/>
      <c r="BB1" s="102">
        <v>2004</v>
      </c>
      <c r="BC1" s="62" t="s">
        <v>91</v>
      </c>
      <c r="BD1" s="109" t="s">
        <v>92</v>
      </c>
      <c r="BE1" s="62" t="s">
        <v>93</v>
      </c>
      <c r="BF1" s="62" t="s">
        <v>102</v>
      </c>
      <c r="BG1" s="62" t="s">
        <v>146</v>
      </c>
      <c r="BH1" s="62" t="s">
        <v>95</v>
      </c>
      <c r="BI1" s="62" t="s">
        <v>96</v>
      </c>
      <c r="BJ1" s="62" t="s">
        <v>98</v>
      </c>
      <c r="BK1" s="62" t="s">
        <v>99</v>
      </c>
      <c r="BL1" s="62" t="s">
        <v>160</v>
      </c>
      <c r="BM1" s="62"/>
      <c r="BN1" s="206">
        <v>2008</v>
      </c>
      <c r="BO1" s="217" t="s">
        <v>91</v>
      </c>
      <c r="BP1" s="217" t="s">
        <v>92</v>
      </c>
      <c r="BQ1" s="217" t="s">
        <v>111</v>
      </c>
      <c r="BR1" s="217" t="s">
        <v>102</v>
      </c>
      <c r="BS1" s="217" t="s">
        <v>146</v>
      </c>
      <c r="BT1" s="217" t="s">
        <v>357</v>
      </c>
      <c r="BU1" s="217" t="s">
        <v>216</v>
      </c>
      <c r="BV1" s="217" t="s">
        <v>99</v>
      </c>
      <c r="BW1" s="62" t="s">
        <v>98</v>
      </c>
      <c r="BX1" s="62" t="s">
        <v>160</v>
      </c>
      <c r="BY1" s="62"/>
      <c r="BZ1" s="102">
        <v>2010</v>
      </c>
      <c r="CA1" s="62" t="s">
        <v>91</v>
      </c>
      <c r="CB1" s="62" t="s">
        <v>92</v>
      </c>
      <c r="CC1" s="62" t="s">
        <v>93</v>
      </c>
      <c r="CD1" s="62" t="s">
        <v>102</v>
      </c>
      <c r="CE1" s="62" t="s">
        <v>146</v>
      </c>
      <c r="CF1" s="62" t="s">
        <v>363</v>
      </c>
      <c r="CG1" s="62" t="s">
        <v>216</v>
      </c>
      <c r="CH1" s="62" t="s">
        <v>99</v>
      </c>
      <c r="CI1" s="62" t="s">
        <v>98</v>
      </c>
      <c r="CJ1" s="62" t="s">
        <v>160</v>
      </c>
      <c r="CK1" s="62"/>
      <c r="CL1" s="206">
        <v>2011</v>
      </c>
      <c r="CM1" s="217" t="s">
        <v>91</v>
      </c>
      <c r="CN1" s="217" t="s">
        <v>92</v>
      </c>
      <c r="CO1" s="217" t="s">
        <v>111</v>
      </c>
      <c r="CP1" s="217" t="s">
        <v>102</v>
      </c>
      <c r="CQ1" s="217" t="s">
        <v>146</v>
      </c>
      <c r="CR1" s="217" t="s">
        <v>357</v>
      </c>
      <c r="CS1" s="62" t="s">
        <v>216</v>
      </c>
      <c r="CT1" s="217" t="s">
        <v>99</v>
      </c>
      <c r="CU1" s="62" t="s">
        <v>98</v>
      </c>
      <c r="CV1" s="217" t="s">
        <v>160</v>
      </c>
      <c r="CW1" s="62"/>
      <c r="CX1" s="102">
        <v>2012</v>
      </c>
      <c r="CY1" s="62" t="s">
        <v>91</v>
      </c>
      <c r="CZ1" s="62" t="s">
        <v>92</v>
      </c>
      <c r="DA1" s="62" t="s">
        <v>111</v>
      </c>
      <c r="DB1" s="62" t="s">
        <v>102</v>
      </c>
      <c r="DC1" s="62" t="s">
        <v>146</v>
      </c>
      <c r="DD1" s="62" t="s">
        <v>357</v>
      </c>
      <c r="DE1" s="62" t="s">
        <v>216</v>
      </c>
      <c r="DF1" s="62" t="s">
        <v>99</v>
      </c>
      <c r="DG1" s="62" t="s">
        <v>98</v>
      </c>
      <c r="DH1" s="62" t="s">
        <v>160</v>
      </c>
      <c r="DI1" s="62"/>
      <c r="DJ1" s="102">
        <v>2013</v>
      </c>
      <c r="DK1" s="62" t="s">
        <v>91</v>
      </c>
      <c r="DL1" s="62" t="s">
        <v>92</v>
      </c>
      <c r="DM1" s="62" t="s">
        <v>111</v>
      </c>
      <c r="DN1" s="62" t="s">
        <v>102</v>
      </c>
      <c r="DO1" s="62" t="s">
        <v>146</v>
      </c>
      <c r="DP1" s="62" t="s">
        <v>357</v>
      </c>
      <c r="DQ1" s="62" t="s">
        <v>216</v>
      </c>
      <c r="DR1" s="62" t="s">
        <v>99</v>
      </c>
      <c r="DS1" s="62" t="s">
        <v>98</v>
      </c>
      <c r="DT1" s="62" t="s">
        <v>160</v>
      </c>
      <c r="DU1" s="62"/>
      <c r="DV1" s="62"/>
      <c r="DW1" s="62">
        <v>2014</v>
      </c>
      <c r="DX1" s="62" t="s">
        <v>91</v>
      </c>
      <c r="DY1" s="62" t="s">
        <v>92</v>
      </c>
      <c r="DZ1" s="62" t="s">
        <v>111</v>
      </c>
      <c r="EA1" s="62" t="s">
        <v>102</v>
      </c>
      <c r="EB1" s="62" t="s">
        <v>146</v>
      </c>
      <c r="EC1" s="62" t="s">
        <v>357</v>
      </c>
      <c r="ED1" s="62" t="s">
        <v>216</v>
      </c>
      <c r="EE1" s="62" t="s">
        <v>99</v>
      </c>
      <c r="EF1" s="62" t="s">
        <v>98</v>
      </c>
      <c r="EG1" s="62" t="s">
        <v>160</v>
      </c>
      <c r="EH1" s="62"/>
      <c r="EI1" s="62"/>
      <c r="EJ1" s="62"/>
      <c r="EK1" s="62"/>
      <c r="EL1" s="62"/>
      <c r="EM1" s="62"/>
      <c r="EN1" s="62"/>
    </row>
    <row r="2" spans="1:144" ht="15.75" customHeight="1" x14ac:dyDescent="0.25">
      <c r="A2" s="25" t="s">
        <v>32</v>
      </c>
      <c r="B2" s="25">
        <f>C2/C33*100</f>
        <v>46.753077014708488</v>
      </c>
      <c r="C2" s="25">
        <f t="shared" ref="C2:C33" si="0">SUM(D2:I2)</f>
        <v>9086</v>
      </c>
      <c r="D2" s="24">
        <f>('Wireline (RV) '!B3)</f>
        <v>8874.7000000000007</v>
      </c>
      <c r="E2" s="40">
        <f>('Wireless (RV)'!B7)</f>
        <v>211.3</v>
      </c>
      <c r="F2" s="25"/>
      <c r="G2" s="25"/>
      <c r="H2" s="25"/>
      <c r="I2" s="25"/>
      <c r="J2" s="25"/>
      <c r="K2" s="25" t="s">
        <v>32</v>
      </c>
      <c r="L2" s="25">
        <f>M2/M35*100</f>
        <v>41.273531782530746</v>
      </c>
      <c r="M2" s="25">
        <f t="shared" ref="M2:M5" si="1">SUM(N2:S2)</f>
        <v>9436.9</v>
      </c>
      <c r="N2" s="24">
        <f>('Wireline (RV) '!C3)</f>
        <v>9017.9</v>
      </c>
      <c r="O2" s="40">
        <f>('Wireless (RV)'!C7)</f>
        <v>419</v>
      </c>
      <c r="P2" s="25"/>
      <c r="Q2" s="25"/>
      <c r="R2" s="25"/>
      <c r="S2" s="25"/>
      <c r="T2" s="25"/>
      <c r="U2" s="25" t="s">
        <v>32</v>
      </c>
      <c r="V2" s="25">
        <f>W2/W34*100</f>
        <v>39.787789398844644</v>
      </c>
      <c r="W2" s="25">
        <f t="shared" ref="W2:W34" si="2">SUM(X2:AC2)</f>
        <v>9956.7999999999993</v>
      </c>
      <c r="X2" s="24">
        <f>('Wireline (RV) '!D3)</f>
        <v>9161</v>
      </c>
      <c r="Y2" s="40">
        <f>('Wireless (RV)'!D7)</f>
        <v>795.8</v>
      </c>
      <c r="Z2" s="25"/>
      <c r="AA2" s="25"/>
      <c r="AB2" s="25"/>
      <c r="AC2" s="25"/>
      <c r="AD2" s="25"/>
      <c r="AE2" s="25" t="s">
        <v>32</v>
      </c>
      <c r="AF2" s="25">
        <f>AG2/AG30*100</f>
        <v>34.60909707395129</v>
      </c>
      <c r="AG2" s="25">
        <f t="shared" ref="AG2:AG30" si="3">SUM(AH2:AN2)</f>
        <v>10998.2</v>
      </c>
      <c r="AH2" s="25">
        <f>('Wireline (RV) '!E3)</f>
        <v>9851</v>
      </c>
      <c r="AI2" s="40">
        <f>('Wireless (RV)'!E7)</f>
        <v>1071.5999999999999</v>
      </c>
      <c r="AJ2" s="24">
        <f>('ISPs (RV)'!B3)</f>
        <v>75.599999999999994</v>
      </c>
      <c r="AK2" s="25"/>
      <c r="AL2" s="25"/>
      <c r="AM2" s="25"/>
      <c r="AN2" s="25"/>
      <c r="AO2" s="25"/>
      <c r="AP2" s="25" t="s">
        <v>32</v>
      </c>
      <c r="AQ2" s="25">
        <f>AR2/AR27*100</f>
        <v>34.215325478823239</v>
      </c>
      <c r="AR2" s="25">
        <f t="shared" ref="AR2:AR27" si="4">SUM(AS2:AZ2)</f>
        <v>15147.8</v>
      </c>
      <c r="AS2" s="25">
        <f>('Wireline (RV) '!F3)</f>
        <v>12739.6</v>
      </c>
      <c r="AT2" s="40">
        <f>('Wireless (RV)'!F7)</f>
        <v>1478.3</v>
      </c>
      <c r="AU2" s="25">
        <f>('ISPs (RV)'!C3)</f>
        <v>316.39999999999998</v>
      </c>
      <c r="AV2" s="25">
        <f>('CableSatIPTV (RV)'!F19)</f>
        <v>305</v>
      </c>
      <c r="AW2" s="25"/>
      <c r="AX2" s="203">
        <f>('Newspaper (RV)'!F15)</f>
        <v>308.5</v>
      </c>
      <c r="AY2" s="25"/>
      <c r="AZ2" s="25"/>
      <c r="BA2" s="25"/>
      <c r="BB2" s="25" t="s">
        <v>32</v>
      </c>
      <c r="BC2" s="25">
        <f>BD2/BD30*100</f>
        <v>30.93269990382872</v>
      </c>
      <c r="BD2" s="25">
        <f t="shared" ref="BD2:BD25" si="5">SUM(BE2:BL2)</f>
        <v>16198.2</v>
      </c>
      <c r="BE2" s="24">
        <f>('Wireline (RV) '!G3)</f>
        <v>9776.5</v>
      </c>
      <c r="BF2" s="40">
        <f>('Wireless (RV)'!G7)</f>
        <v>3204.4</v>
      </c>
      <c r="BG2" s="25">
        <f>('ISPs (RV)'!D3)</f>
        <v>940.6</v>
      </c>
      <c r="BH2" s="25">
        <f>('CableSatIPTV (RV)'!G19)</f>
        <v>856.7</v>
      </c>
      <c r="BI2" s="25">
        <v>981.9</v>
      </c>
      <c r="BJ2" s="25">
        <v>438.1</v>
      </c>
      <c r="BK2" s="25"/>
      <c r="BL2" s="25"/>
      <c r="BM2" s="25"/>
      <c r="BN2" s="25" t="s">
        <v>87</v>
      </c>
      <c r="BO2" s="25">
        <f>BP2/BP18*100</f>
        <v>26.795729256193436</v>
      </c>
      <c r="BP2" s="25">
        <f t="shared" ref="BP2:BP18" si="6">SUM(BQ2:BX2)</f>
        <v>17461.899999999998</v>
      </c>
      <c r="BQ2" s="25">
        <f>('Wireline (RV) '!H3)</f>
        <v>10219.237479081967</v>
      </c>
      <c r="BR2" s="25">
        <f>('Wireless (RV)'!H7)</f>
        <v>4553</v>
      </c>
      <c r="BS2" s="25">
        <f>('ISPs (RV)'!E3)</f>
        <v>1257.8625209180327</v>
      </c>
      <c r="BT2" s="25">
        <f>('CableSatIPTV (RV)'!H19)</f>
        <v>1380.1</v>
      </c>
      <c r="BU2" s="25">
        <f>('Total TV Universe (RV)'!J3)</f>
        <v>51.7</v>
      </c>
      <c r="BV2" s="25"/>
      <c r="BW2" s="25"/>
      <c r="BX2" s="25"/>
      <c r="BY2" s="25"/>
      <c r="BZ2" s="25" t="s">
        <v>32</v>
      </c>
      <c r="CA2" s="25">
        <f>CB2/CB17*100</f>
        <v>25.447306621615162</v>
      </c>
      <c r="CB2" s="25">
        <f t="shared" ref="CB2:CB17" si="7">SUM(CC2:CJ2)</f>
        <v>17287.400000000001</v>
      </c>
      <c r="CC2" s="25">
        <f>('Wireline (RV) '!I3)</f>
        <v>9015.7872636065567</v>
      </c>
      <c r="CD2" s="40">
        <f>('Wireless (RV)'!I7)</f>
        <v>4987</v>
      </c>
      <c r="CE2" s="25">
        <f>('ISPs (RV)'!F3)</f>
        <v>1506.512736393443</v>
      </c>
      <c r="CF2" s="25">
        <f>('CableSatIPTV (RV)'!I19)</f>
        <v>1718.9</v>
      </c>
      <c r="CG2" s="25">
        <f>('Total TV Universe (RV)'!K3)</f>
        <v>59.2</v>
      </c>
      <c r="CH2" s="25"/>
      <c r="CI2" s="25"/>
      <c r="CJ2" s="25"/>
      <c r="CK2" s="25"/>
      <c r="CL2" s="63" t="s">
        <v>87</v>
      </c>
      <c r="CM2" s="25">
        <f>CN2/CN20*100</f>
        <v>27.86320325662232</v>
      </c>
      <c r="CN2" s="25">
        <f t="shared" ref="CN2:CN20" si="8">SUM(CO2:CV2)</f>
        <v>19599.900000000001</v>
      </c>
      <c r="CO2" s="25">
        <f>('Wireline (RV) '!J3)</f>
        <v>8794.6961393170732</v>
      </c>
      <c r="CP2" s="25">
        <f>('Wireless (RV)'!J7)</f>
        <v>5319</v>
      </c>
      <c r="CQ2" s="25">
        <f>('ISPs (RV)'!G3)</f>
        <v>1610.4038606829267</v>
      </c>
      <c r="CR2" s="25">
        <f>('CableSatIPTV (RV)'!J19)</f>
        <v>1874.2</v>
      </c>
      <c r="CS2" s="25">
        <f>('Total TV Universe (RV)'!L3)</f>
        <v>1820.9</v>
      </c>
      <c r="CT2" s="25">
        <f>('Radio (RV)'!J3)</f>
        <v>160.5</v>
      </c>
      <c r="CU2" s="25"/>
      <c r="CV2" s="25">
        <v>20.2</v>
      </c>
      <c r="CW2" s="25"/>
      <c r="CX2" s="63" t="s">
        <v>87</v>
      </c>
      <c r="CY2" s="25">
        <f>CZ2/CZ20*100</f>
        <v>27.433414186050392</v>
      </c>
      <c r="CZ2" s="25">
        <f t="shared" ref="CZ2:CZ20" si="9">SUM(DA2:DH2)</f>
        <v>19694.36519525473</v>
      </c>
      <c r="DA2" s="25">
        <f>('Wireline (RV) '!K3)</f>
        <v>8357.2000000000007</v>
      </c>
      <c r="DB2" s="25">
        <f>('Wireless (RV)'!K7)</f>
        <v>5680</v>
      </c>
      <c r="DC2" s="25">
        <f>('ISPs (RV)'!H3)</f>
        <v>1697.3651952547298</v>
      </c>
      <c r="DD2" s="25">
        <f>('CableSatIPTV (RV)'!K19)</f>
        <v>1937.5</v>
      </c>
      <c r="DE2" s="25">
        <f>('Total TV Universe (RV)'!M3)</f>
        <v>1865.1</v>
      </c>
      <c r="DF2" s="25">
        <f>('Radio (RV)'!K3)</f>
        <v>157.19999999999999</v>
      </c>
      <c r="DG2" s="25"/>
      <c r="DH2" s="25"/>
      <c r="DI2" s="25"/>
      <c r="DJ2" s="63" t="s">
        <v>87</v>
      </c>
      <c r="DK2" s="25">
        <f>DL2/DL19*100</f>
        <v>27.985851156335983</v>
      </c>
      <c r="DL2" s="25">
        <f t="shared" ref="DL2:DL19" si="10">SUM(DM2:DT2)</f>
        <v>20437.259000000002</v>
      </c>
      <c r="DM2" s="25">
        <f>('Wireline (RV) '!L3)</f>
        <v>7996.2847615573</v>
      </c>
      <c r="DN2" s="25">
        <f>('Wireless (RV)'!L7)</f>
        <v>5946</v>
      </c>
      <c r="DO2" s="25">
        <f>('ISPs (RV)'!I3)</f>
        <v>1821.5152384427008</v>
      </c>
      <c r="DP2" s="25">
        <f>('CableSatIPTV (RV)'!L19)</f>
        <v>2103.259</v>
      </c>
      <c r="DQ2" s="25">
        <f>('Total TV Universe (RV)'!N3)</f>
        <v>2147.5</v>
      </c>
      <c r="DR2" s="25">
        <f>('Radio (RV)'!L3)</f>
        <v>422.7</v>
      </c>
      <c r="DS2" s="25"/>
      <c r="DT2" s="25"/>
      <c r="DU2" s="25"/>
      <c r="DV2" s="25"/>
      <c r="DW2" s="63" t="s">
        <v>87</v>
      </c>
      <c r="DX2" s="57">
        <f>DY2/DY19*100</f>
        <v>27.868141154151854</v>
      </c>
      <c r="DY2" s="57">
        <f t="shared" ref="DY2:DY19" si="11">SUM(DZ2:EG2)</f>
        <v>20538.999999999996</v>
      </c>
      <c r="DZ2" s="57">
        <f>('Wireline (RV) '!M3)</f>
        <v>7681.6</v>
      </c>
      <c r="EA2" s="57">
        <f>('Wireless (RV)'!M7)</f>
        <v>6340</v>
      </c>
      <c r="EB2" s="57">
        <f>('ISPs (RV)'!J10)</f>
        <v>1245</v>
      </c>
      <c r="EC2" s="57">
        <f>('CableSatIPTV (RV)'!M19)</f>
        <v>2385.6999999999998</v>
      </c>
      <c r="ED2" s="57">
        <f>('Total TV Universe (RV)'!O3)</f>
        <v>2472.6</v>
      </c>
      <c r="EE2" s="57">
        <f>('Radio (RV)'!M3)</f>
        <v>414.1</v>
      </c>
      <c r="EF2" s="25"/>
      <c r="EG2" s="25"/>
      <c r="EH2" s="25"/>
      <c r="EI2" s="25"/>
      <c r="EJ2" s="25"/>
      <c r="EK2" s="25"/>
      <c r="EL2" s="25"/>
      <c r="EM2" s="25"/>
      <c r="EN2" s="25"/>
    </row>
    <row r="3" spans="1:144" ht="15.75" customHeight="1" x14ac:dyDescent="0.25">
      <c r="A3" s="25" t="s">
        <v>459</v>
      </c>
      <c r="B3" s="25">
        <f>C3/C33*100</f>
        <v>7.6273482345259076</v>
      </c>
      <c r="C3" s="25">
        <f t="shared" si="0"/>
        <v>1482.3</v>
      </c>
      <c r="D3" s="24">
        <v>1482.3</v>
      </c>
      <c r="E3" s="25"/>
      <c r="F3" s="25"/>
      <c r="G3" s="25"/>
      <c r="H3" s="25"/>
      <c r="I3" s="25"/>
      <c r="J3" s="25"/>
      <c r="K3" s="25" t="s">
        <v>459</v>
      </c>
      <c r="L3" s="25">
        <f>M3/M35*100</f>
        <v>8.362385186681939</v>
      </c>
      <c r="M3" s="25">
        <f t="shared" si="1"/>
        <v>1912</v>
      </c>
      <c r="N3" s="24">
        <v>1912</v>
      </c>
      <c r="O3" s="25"/>
      <c r="P3" s="25"/>
      <c r="Q3" s="25"/>
      <c r="R3" s="25"/>
      <c r="S3" s="25"/>
      <c r="T3" s="25"/>
      <c r="U3" s="25" t="s">
        <v>459</v>
      </c>
      <c r="V3" s="25">
        <f>W3/W34*100</f>
        <v>7.9017731356736522</v>
      </c>
      <c r="W3" s="25">
        <f t="shared" si="2"/>
        <v>1977.4</v>
      </c>
      <c r="X3" s="24">
        <v>1977.4</v>
      </c>
      <c r="Y3" s="25"/>
      <c r="Z3" s="25"/>
      <c r="AA3" s="25"/>
      <c r="AB3" s="25"/>
      <c r="AC3" s="25"/>
      <c r="AD3" s="25"/>
      <c r="AE3" s="25" t="s">
        <v>459</v>
      </c>
      <c r="AF3" s="25">
        <f>AG3/AG30*100</f>
        <v>7.7272734424537459</v>
      </c>
      <c r="AG3" s="25">
        <f t="shared" si="3"/>
        <v>2455.6</v>
      </c>
      <c r="AH3" s="24">
        <v>2449.1</v>
      </c>
      <c r="AI3" s="25"/>
      <c r="AJ3" s="24">
        <v>6.5</v>
      </c>
      <c r="AK3" s="25"/>
      <c r="AL3" s="25"/>
      <c r="AM3" s="25"/>
      <c r="AN3" s="25"/>
      <c r="AO3" s="25"/>
      <c r="AP3" s="25" t="s">
        <v>13</v>
      </c>
      <c r="AQ3" s="25">
        <f>AR3/AR27*100</f>
        <v>14.03980766703558</v>
      </c>
      <c r="AR3" s="25">
        <f t="shared" si="4"/>
        <v>6215.7</v>
      </c>
      <c r="AS3" s="25">
        <f>('Wireline (RV) '!F10)</f>
        <v>4428.4935422848002</v>
      </c>
      <c r="AT3" s="25">
        <f>('Wireless (RV)'!F5)</f>
        <v>1617.2</v>
      </c>
      <c r="AU3" s="24">
        <f>('ISPs (RV)'!C15)</f>
        <v>170.00645771519999</v>
      </c>
      <c r="AV3" s="25"/>
      <c r="AW3" s="25"/>
      <c r="AX3" s="25"/>
      <c r="AY3" s="25"/>
      <c r="AZ3" s="25"/>
      <c r="BA3" s="25"/>
      <c r="BB3" s="25" t="s">
        <v>13</v>
      </c>
      <c r="BC3" s="25">
        <f>BD3/BD30*100</f>
        <v>13.971089001838891</v>
      </c>
      <c r="BD3" s="25">
        <f t="shared" si="5"/>
        <v>7316.0925031822226</v>
      </c>
      <c r="BE3" s="9">
        <f>('Wireline (RV) '!G10)</f>
        <v>4105.1000000000004</v>
      </c>
      <c r="BF3" s="40">
        <f>('Wireless (RV)'!G5)</f>
        <v>2833</v>
      </c>
      <c r="BG3" s="24">
        <f>('ISPs (RV)'!D15)</f>
        <v>377.99250318222226</v>
      </c>
      <c r="BH3" s="25"/>
      <c r="BI3" s="25"/>
      <c r="BJ3" s="25"/>
      <c r="BK3" s="25"/>
      <c r="BL3" s="25"/>
      <c r="BM3" s="25"/>
      <c r="BN3" s="25" t="s">
        <v>17</v>
      </c>
      <c r="BO3" s="25">
        <f>BP3/BP18*100</f>
        <v>15.602900915939804</v>
      </c>
      <c r="BP3" s="25">
        <f t="shared" si="6"/>
        <v>10167.9</v>
      </c>
      <c r="BQ3" s="25">
        <f>('Wireline (RV) '!H15)</f>
        <v>514.20000000000005</v>
      </c>
      <c r="BR3" s="25">
        <f>('Wireless (RV)'!H3)</f>
        <v>6335</v>
      </c>
      <c r="BS3" s="25">
        <v>695</v>
      </c>
      <c r="BT3" s="25">
        <f>('CableSatIPTV (RV)'!H22)</f>
        <v>1600.2</v>
      </c>
      <c r="BU3" s="25">
        <f>('Total TV Universe (RV)'!J26)</f>
        <v>483</v>
      </c>
      <c r="BV3" s="25">
        <f>('Radio (RV)'!H13)</f>
        <v>241.3</v>
      </c>
      <c r="BW3" s="25">
        <f>('Magazines (RV)'!H3)</f>
        <v>299.2</v>
      </c>
      <c r="BX3" s="25"/>
      <c r="BY3" s="25"/>
      <c r="BZ3" s="25" t="s">
        <v>17</v>
      </c>
      <c r="CA3" s="25">
        <f>CB3/CB17*100</f>
        <v>15.717583973469583</v>
      </c>
      <c r="CB3" s="25">
        <f t="shared" si="7"/>
        <v>10677.6</v>
      </c>
      <c r="CC3" s="25"/>
      <c r="CD3" s="40">
        <f>('Wireless (RV)'!I3)</f>
        <v>6968</v>
      </c>
      <c r="CE3" s="25">
        <v>848</v>
      </c>
      <c r="CF3" s="25">
        <f>('CableSatIPTV (RV)'!I22)</f>
        <v>1765.8</v>
      </c>
      <c r="CG3" s="25">
        <f>('Total TV Universe (RV)'!K26)</f>
        <v>606.20000000000005</v>
      </c>
      <c r="CH3" s="25">
        <f>('Radio (RV)'!I13)</f>
        <v>204.4</v>
      </c>
      <c r="CI3" s="25">
        <v>285.2</v>
      </c>
      <c r="CJ3" s="25"/>
      <c r="CK3" s="25"/>
      <c r="CL3" s="25" t="s">
        <v>17</v>
      </c>
      <c r="CM3" s="25">
        <f>CN3/CN20*100</f>
        <v>16.471501938947654</v>
      </c>
      <c r="CN3" s="25">
        <f t="shared" si="8"/>
        <v>11586.599999999999</v>
      </c>
      <c r="CO3" s="25">
        <f>('Wireline (RV) '!J15)</f>
        <v>478</v>
      </c>
      <c r="CP3" s="25">
        <f>('Wireless (RV)'!J3)</f>
        <v>7138</v>
      </c>
      <c r="CQ3" s="25">
        <f>('ISPs (RV)'!G10)</f>
        <v>926</v>
      </c>
      <c r="CR3" s="25">
        <f>('CableSatIPTV (RV)'!J22)</f>
        <v>1830.6</v>
      </c>
      <c r="CS3" s="25">
        <f>('Total TV Universe (RV)'!L26)</f>
        <v>719.3</v>
      </c>
      <c r="CT3" s="25">
        <f>('Radio (RV)'!J13)</f>
        <v>220.8</v>
      </c>
      <c r="CU3" s="25">
        <v>273.89999999999998</v>
      </c>
      <c r="CV3" s="25"/>
      <c r="CW3" s="25"/>
      <c r="CX3" s="25" t="s">
        <v>17</v>
      </c>
      <c r="CY3" s="25">
        <f>CZ3/CZ20*100</f>
        <v>16.421297663071378</v>
      </c>
      <c r="CZ3" s="25">
        <f t="shared" si="9"/>
        <v>11788.8</v>
      </c>
      <c r="DA3" s="25">
        <f>('Wireline (RV) '!K15)</f>
        <v>477</v>
      </c>
      <c r="DB3" s="25">
        <f>('Wireless (RV)'!K3)</f>
        <v>7280</v>
      </c>
      <c r="DC3" s="25">
        <f>('ISPs (RV)'!H10)</f>
        <v>998</v>
      </c>
      <c r="DD3" s="25">
        <f>('CableSatIPTV (RV)'!K22)</f>
        <v>1838.5</v>
      </c>
      <c r="DE3" s="24">
        <f>('Total TV Universe (RV)'!M26)</f>
        <v>743.4</v>
      </c>
      <c r="DF3" s="25">
        <f>('Radio (RV)'!K13)</f>
        <v>225.1</v>
      </c>
      <c r="DG3" s="25">
        <v>226.8</v>
      </c>
      <c r="DH3" s="25"/>
      <c r="DI3" s="25"/>
      <c r="DJ3" s="25" t="s">
        <v>17</v>
      </c>
      <c r="DK3" s="25">
        <f>DL3/DL19*100</f>
        <v>16.30210971941656</v>
      </c>
      <c r="DL3" s="25">
        <f t="shared" si="10"/>
        <v>11904.96</v>
      </c>
      <c r="DM3" s="25">
        <f>('Wireline (RV) '!L15)</f>
        <v>498</v>
      </c>
      <c r="DN3" s="25">
        <f>('Wireless (RV)'!L3)</f>
        <v>7270</v>
      </c>
      <c r="DO3" s="25">
        <f>('ISPs (RV)'!I10)</f>
        <v>1159</v>
      </c>
      <c r="DP3" s="25">
        <f>('CableSatIPTV (RV)'!L22)</f>
        <v>1771.6</v>
      </c>
      <c r="DQ3" s="137">
        <f>('Total TV Universe (RV)'!N26)</f>
        <v>743.3</v>
      </c>
      <c r="DR3" s="25">
        <f>('Radio (RV)'!L13)</f>
        <v>224.5</v>
      </c>
      <c r="DS3" s="25">
        <f>('Magazines (RV)'!L3)</f>
        <v>238.56000000000003</v>
      </c>
      <c r="DT3" s="25"/>
      <c r="DU3" s="25"/>
      <c r="DV3" s="25"/>
      <c r="DW3" s="25" t="s">
        <v>17</v>
      </c>
      <c r="DX3" s="57">
        <f>DY3/DY19*100</f>
        <v>16.358472671347247</v>
      </c>
      <c r="DY3" s="57">
        <f t="shared" si="11"/>
        <v>12056.3</v>
      </c>
      <c r="DZ3" s="57">
        <f>('Wireline (RV) '!M15)</f>
        <v>478</v>
      </c>
      <c r="EA3" s="57">
        <f>('Wireless (RV)'!M3)</f>
        <v>7305</v>
      </c>
      <c r="EB3" s="57">
        <f>('ISPs (RV)'!J4)</f>
        <v>1365</v>
      </c>
      <c r="EC3" s="57">
        <f>('CableSatIPTV (RV)'!M22)</f>
        <v>1734</v>
      </c>
      <c r="ED3" s="57">
        <f>('Total TV Universe (RV)'!O26)</f>
        <v>744.9</v>
      </c>
      <c r="EE3" s="57">
        <f>('Radio (RV)'!M13)</f>
        <v>228.5</v>
      </c>
      <c r="EF3" s="57">
        <f>('Magazines (RV)'!M3)</f>
        <v>200.9</v>
      </c>
      <c r="EG3" s="25"/>
      <c r="EH3" s="25"/>
      <c r="EI3" s="25"/>
      <c r="EJ3" s="25"/>
      <c r="EK3" s="25"/>
      <c r="EL3" s="25"/>
      <c r="EM3" s="25"/>
      <c r="EN3" s="25"/>
    </row>
    <row r="4" spans="1:144" ht="15.75" customHeight="1" x14ac:dyDescent="0.25">
      <c r="A4" s="25" t="s">
        <v>178</v>
      </c>
      <c r="B4" s="25">
        <f>C4/C33*100</f>
        <v>5.4651599270660229</v>
      </c>
      <c r="C4" s="25">
        <f t="shared" si="0"/>
        <v>1062.0999999999999</v>
      </c>
      <c r="D4" s="25"/>
      <c r="E4" s="25"/>
      <c r="F4" s="25"/>
      <c r="G4" s="25">
        <f>('Total TV Universe (RV)'!B25)</f>
        <v>810.91</v>
      </c>
      <c r="H4" s="25"/>
      <c r="I4" s="25">
        <f>('Radio (RV)'!B12)</f>
        <v>251.18999999999997</v>
      </c>
      <c r="J4" s="25"/>
      <c r="K4" s="25" t="s">
        <v>178</v>
      </c>
      <c r="L4" s="25">
        <f>M4/M35*100</f>
        <v>5.5032279594074414</v>
      </c>
      <c r="M4" s="25">
        <f t="shared" si="1"/>
        <v>1258.2739999999999</v>
      </c>
      <c r="N4" s="25"/>
      <c r="O4" s="25"/>
      <c r="P4" s="25"/>
      <c r="Q4" s="24">
        <f>('Total TV Universe (RV)'!C25)</f>
        <v>982.30399999999997</v>
      </c>
      <c r="R4" s="25"/>
      <c r="S4" s="25">
        <f>('Radio (RV)'!C12)</f>
        <v>275.96999999999997</v>
      </c>
      <c r="T4" s="25"/>
      <c r="U4" s="25" t="s">
        <v>178</v>
      </c>
      <c r="V4" s="25">
        <f>W4/W34*100</f>
        <v>5.3083419811008792</v>
      </c>
      <c r="W4" s="25">
        <f t="shared" si="2"/>
        <v>1328.3999999999999</v>
      </c>
      <c r="X4" s="25"/>
      <c r="Y4" s="25"/>
      <c r="Z4" s="25"/>
      <c r="AA4" s="24">
        <f>('Total TV Universe (RV)'!E25)</f>
        <v>1058.2199999999998</v>
      </c>
      <c r="AB4" s="108"/>
      <c r="AC4" s="25">
        <f>('Radio (RV)'!D12)</f>
        <v>270.18</v>
      </c>
      <c r="AD4" s="25"/>
      <c r="AE4" s="25" t="s">
        <v>17</v>
      </c>
      <c r="AF4" s="25">
        <f>AG4/AG30*100</f>
        <v>7.9016059675848505</v>
      </c>
      <c r="AG4" s="25">
        <f t="shared" si="3"/>
        <v>2511.0000000000005</v>
      </c>
      <c r="AH4" s="25"/>
      <c r="AI4" s="25">
        <f>('Wireless (RV)'!E3)</f>
        <v>1102</v>
      </c>
      <c r="AJ4" s="25"/>
      <c r="AK4" s="25">
        <f>('CableSatIPTV (RV)'!E22)</f>
        <v>953.3</v>
      </c>
      <c r="AL4" s="25">
        <f>('Total TV Universe (RV)'!F26)</f>
        <v>169.4</v>
      </c>
      <c r="AM4" s="25">
        <v>208.4</v>
      </c>
      <c r="AN4" s="25">
        <f>('Radio (RV)'!E13)</f>
        <v>77.900000000000006</v>
      </c>
      <c r="AO4" s="25"/>
      <c r="AP4" s="25" t="s">
        <v>17</v>
      </c>
      <c r="AQ4" s="25">
        <f>AR4/AR27*100</f>
        <v>7.5126534904452171</v>
      </c>
      <c r="AR4" s="25">
        <f t="shared" si="4"/>
        <v>3325.9999999999995</v>
      </c>
      <c r="AS4" s="25"/>
      <c r="AT4" s="40">
        <f>('Wireless (RV)'!F3)</f>
        <v>1639.1</v>
      </c>
      <c r="AU4" s="25">
        <f>('ISPs (RV)'!C10)</f>
        <v>111.5</v>
      </c>
      <c r="AV4" s="25">
        <f>('CableSatIPTV (RV)'!F22)</f>
        <v>980.3</v>
      </c>
      <c r="AW4" s="25">
        <f>('Total TV Universe (RV)'!H26)</f>
        <v>151.30000000000001</v>
      </c>
      <c r="AX4" s="25">
        <f>('Magazines (RV)'!F3)</f>
        <v>302.7</v>
      </c>
      <c r="AY4" s="25">
        <f>('Radio (RV)'!F13)</f>
        <v>141.1</v>
      </c>
      <c r="AZ4" s="25"/>
      <c r="BA4" s="25"/>
      <c r="BB4" s="25" t="s">
        <v>17</v>
      </c>
      <c r="BC4" s="25">
        <f>BD4/BD30*100</f>
        <v>9.7093639658126669</v>
      </c>
      <c r="BD4" s="25">
        <f t="shared" si="5"/>
        <v>5084.4000000000005</v>
      </c>
      <c r="BE4" s="25"/>
      <c r="BF4" s="25">
        <f>('Wireless (RV)'!G3)</f>
        <v>2783.5</v>
      </c>
      <c r="BG4" s="25">
        <v>378.9</v>
      </c>
      <c r="BH4" s="25">
        <f>('CableSatIPTV (RV)'!G22)</f>
        <v>1253.0999999999999</v>
      </c>
      <c r="BI4" s="25">
        <f>('Total TV Universe (RV)'!I26)</f>
        <v>185.60000000000002</v>
      </c>
      <c r="BJ4" s="25">
        <v>278.60000000000002</v>
      </c>
      <c r="BK4" s="25">
        <f>('Radio (RV)'!G13)</f>
        <v>204.7</v>
      </c>
      <c r="BL4" s="25"/>
      <c r="BM4" s="25"/>
      <c r="BN4" s="25" t="s">
        <v>13</v>
      </c>
      <c r="BO4" s="25">
        <f>BP4/BP18*100</f>
        <v>14.432306733955743</v>
      </c>
      <c r="BP4" s="25">
        <f t="shared" si="6"/>
        <v>9405.0620734426229</v>
      </c>
      <c r="BQ4" s="9">
        <f>('Wireline (RV) '!H10)</f>
        <v>4205.8999999999996</v>
      </c>
      <c r="BR4" s="25">
        <f>('Wireless (RV)'!H5)</f>
        <v>4660</v>
      </c>
      <c r="BS4" s="25">
        <f>('ISPs (RV)'!E15)</f>
        <v>505.61991344262299</v>
      </c>
      <c r="BT4" s="25">
        <f>('CableSatIPTV (RV)'!H35)</f>
        <v>33.542160000000003</v>
      </c>
      <c r="BU4" s="25"/>
      <c r="BV4" s="25"/>
      <c r="BW4" s="25"/>
      <c r="BX4" s="25"/>
      <c r="BY4" s="25"/>
      <c r="BZ4" s="25" t="s">
        <v>13</v>
      </c>
      <c r="CA4" s="25">
        <f>CB4/CB17*100</f>
        <v>13.969503970181055</v>
      </c>
      <c r="CB4" s="25">
        <f t="shared" si="7"/>
        <v>9490.0574950819682</v>
      </c>
      <c r="CC4" s="9">
        <f>('Wireline (RV) '!I10)</f>
        <v>3710.3</v>
      </c>
      <c r="CD4" s="40">
        <f>('Wireless (RV)'!I5)</f>
        <v>5045</v>
      </c>
      <c r="CE4" s="25">
        <f>('ISPs (RV)'!F15)</f>
        <v>572.22109508196718</v>
      </c>
      <c r="CF4" s="335">
        <f>('CableSatIPTV (RV)'!I35)</f>
        <v>162.53639999999999</v>
      </c>
      <c r="CG4" s="25"/>
      <c r="CH4" s="25"/>
      <c r="CI4" s="25"/>
      <c r="CJ4" s="25"/>
      <c r="CK4" s="25"/>
      <c r="CL4" s="25" t="s">
        <v>13</v>
      </c>
      <c r="CM4" s="25">
        <f>CN4/CN20*100</f>
        <v>14.672868578344211</v>
      </c>
      <c r="CN4" s="25">
        <f t="shared" si="8"/>
        <v>10321.381723414634</v>
      </c>
      <c r="CO4" s="25">
        <v>3888.3</v>
      </c>
      <c r="CP4" s="25">
        <f>('Wireless (RV)'!J5)</f>
        <v>5500</v>
      </c>
      <c r="CQ4" s="25">
        <f>('ISPs (RV)'!G15)</f>
        <v>643.9729834146342</v>
      </c>
      <c r="CR4" s="335">
        <f>('CableSatIPTV (RV)'!J35)</f>
        <v>289.10874000000001</v>
      </c>
      <c r="CS4" s="25"/>
      <c r="CT4" s="25"/>
      <c r="CU4" s="25"/>
      <c r="CV4" s="25"/>
      <c r="CW4" s="25"/>
      <c r="CX4" s="25" t="s">
        <v>13</v>
      </c>
      <c r="CY4" s="25">
        <f>CZ4/CZ20*100</f>
        <v>14.79733908110417</v>
      </c>
      <c r="CZ4" s="25">
        <f t="shared" si="9"/>
        <v>10622.965038360657</v>
      </c>
      <c r="DA4" s="25">
        <f>('Wireline (RV) '!K10)</f>
        <v>3586.4</v>
      </c>
      <c r="DB4" s="25">
        <f>('Wireless (RV)'!K5)</f>
        <v>5886</v>
      </c>
      <c r="DC4" s="25">
        <f>('ISPs (RV)'!H15)</f>
        <v>722.36201836065595</v>
      </c>
      <c r="DD4" s="346">
        <f>('CableSatIPTV (RV)'!K35)</f>
        <v>428.20301999999998</v>
      </c>
      <c r="DE4" s="25"/>
      <c r="DF4" s="25"/>
      <c r="DG4" s="25"/>
      <c r="DH4" s="25"/>
      <c r="DI4" s="25"/>
      <c r="DJ4" s="25" t="s">
        <v>13</v>
      </c>
      <c r="DK4" s="25">
        <f>DL4/DL19*100</f>
        <v>15.227145695644262</v>
      </c>
      <c r="DL4" s="25">
        <f t="shared" si="10"/>
        <v>11119.944813333334</v>
      </c>
      <c r="DM4" s="25">
        <f>('Wireline (RV) '!L10)</f>
        <v>3620.3</v>
      </c>
      <c r="DN4" s="25">
        <f>('Wireless (RV)'!L5)</f>
        <v>6177</v>
      </c>
      <c r="DO4" s="25">
        <f>('ISPs (RV)'!I15)</f>
        <v>795.29173333333324</v>
      </c>
      <c r="DP4" s="346">
        <f>('CableSatIPTV (RV)'!L35)</f>
        <v>527.35307999999998</v>
      </c>
      <c r="DQ4" s="25"/>
      <c r="DR4" s="25"/>
      <c r="DS4" s="25"/>
      <c r="DT4" s="25"/>
      <c r="DU4" s="25"/>
      <c r="DV4" s="25"/>
      <c r="DW4" s="25" t="s">
        <v>13</v>
      </c>
      <c r="DX4" s="57">
        <f>DY4/DY19*100</f>
        <v>15.913049735787302</v>
      </c>
      <c r="DY4" s="57">
        <f t="shared" si="11"/>
        <v>11728.020420000001</v>
      </c>
      <c r="DZ4" s="57">
        <f>('Wireline (RV) '!M10)</f>
        <v>3547.6</v>
      </c>
      <c r="EA4" s="57">
        <f>('Wireless (RV)'!M5)</f>
        <v>6641</v>
      </c>
      <c r="EB4" s="57">
        <f>('ISPs (RV)'!J15)</f>
        <v>880.221</v>
      </c>
      <c r="EC4" s="57">
        <f>('CableSatIPTV (RV)'!M35)</f>
        <v>659.19942000000003</v>
      </c>
      <c r="ED4" s="25"/>
      <c r="EE4" s="25"/>
      <c r="EF4" s="25"/>
      <c r="EG4" s="25"/>
      <c r="EH4" s="25"/>
      <c r="EI4" s="25"/>
      <c r="EJ4" s="25"/>
      <c r="EK4" s="25"/>
      <c r="EL4" s="25"/>
      <c r="EM4" s="25"/>
      <c r="EN4" s="25"/>
    </row>
    <row r="5" spans="1:144" ht="15.75" customHeight="1" x14ac:dyDescent="0.25">
      <c r="A5" s="25" t="s">
        <v>575</v>
      </c>
      <c r="B5" s="25">
        <f>C5/C33*100</f>
        <v>4.997423332234745</v>
      </c>
      <c r="C5" s="25">
        <f t="shared" si="0"/>
        <v>971.2</v>
      </c>
      <c r="D5" s="24">
        <v>971.2</v>
      </c>
      <c r="E5" s="25"/>
      <c r="F5" s="25"/>
      <c r="G5" s="25"/>
      <c r="H5" s="25"/>
      <c r="I5" s="25"/>
      <c r="J5" s="25"/>
      <c r="K5" s="25" t="s">
        <v>575</v>
      </c>
      <c r="L5" s="25">
        <f>M5/M35*100</f>
        <v>4.6859097745873584</v>
      </c>
      <c r="M5" s="25">
        <f t="shared" si="1"/>
        <v>1071.4000000000001</v>
      </c>
      <c r="N5" s="24">
        <v>1071.4000000000001</v>
      </c>
      <c r="O5" s="25"/>
      <c r="P5" s="25"/>
      <c r="Q5" s="25"/>
      <c r="R5" s="25"/>
      <c r="S5" s="25"/>
      <c r="T5" s="25"/>
      <c r="U5" s="25" t="s">
        <v>13</v>
      </c>
      <c r="V5" s="25">
        <f>W5/W34*100</f>
        <v>5.0677802622945922</v>
      </c>
      <c r="W5" s="25">
        <f t="shared" si="2"/>
        <v>1268.2</v>
      </c>
      <c r="X5" s="24">
        <f>('Wireline (RV) '!D10)</f>
        <v>1268.2</v>
      </c>
      <c r="Y5" s="25"/>
      <c r="Z5" s="25"/>
      <c r="AA5" s="25"/>
      <c r="AB5" s="25"/>
      <c r="AC5" s="25"/>
      <c r="AD5" s="25"/>
      <c r="AE5" s="25" t="s">
        <v>13</v>
      </c>
      <c r="AF5" s="25">
        <f>AG5/AG30*100</f>
        <v>5.330673241373451</v>
      </c>
      <c r="AG5" s="25">
        <f t="shared" si="3"/>
        <v>1694</v>
      </c>
      <c r="AH5" s="25">
        <f>('Wireline (RV) '!E10)</f>
        <v>1677.2</v>
      </c>
      <c r="AI5" s="25"/>
      <c r="AJ5" s="25">
        <f>('ISPs (RV)'!B15)</f>
        <v>16.8</v>
      </c>
      <c r="AK5" s="25"/>
      <c r="AL5" s="25"/>
      <c r="AM5" s="25"/>
      <c r="AN5" s="25"/>
      <c r="AO5" s="25"/>
      <c r="AP5" s="25" t="s">
        <v>16</v>
      </c>
      <c r="AQ5" s="25">
        <f>AR5/AR27*100</f>
        <v>3.6774958351755447</v>
      </c>
      <c r="AR5" s="25">
        <f t="shared" si="4"/>
        <v>1628.1000000000001</v>
      </c>
      <c r="AS5" s="24">
        <f>('Wireline (RV) '!F14)</f>
        <v>20.8</v>
      </c>
      <c r="AT5" s="25"/>
      <c r="AU5" s="25">
        <f>('ISPs (RV)'!C11)</f>
        <v>98.9</v>
      </c>
      <c r="AV5" s="25">
        <f>('CableSatIPTV (RV)'!F3)</f>
        <v>1190.4000000000001</v>
      </c>
      <c r="AW5" s="362">
        <f>('Total TV Universe (RV)'!H17)</f>
        <v>151.30000000000001</v>
      </c>
      <c r="AX5" s="25"/>
      <c r="AY5" s="25">
        <f>('Radio (RV)'!F16)</f>
        <v>166.7</v>
      </c>
      <c r="AZ5" s="25"/>
      <c r="BA5" s="25"/>
      <c r="BB5" s="25" t="s">
        <v>16</v>
      </c>
      <c r="BC5" s="25">
        <f>BD5/BD30*100</f>
        <v>5.0177650768171986</v>
      </c>
      <c r="BD5" s="25">
        <f t="shared" si="5"/>
        <v>2627.6000000000004</v>
      </c>
      <c r="BE5" s="24">
        <f>('Wireline (RV) '!G14)</f>
        <v>43.8</v>
      </c>
      <c r="BF5" s="25"/>
      <c r="BG5" s="25">
        <v>432.5</v>
      </c>
      <c r="BH5" s="25">
        <f>('CableSatIPTV (RV)'!G3)</f>
        <v>1574.5</v>
      </c>
      <c r="BI5" s="25">
        <f>('Total TV Universe (RV)'!I17)</f>
        <v>348.90000000000003</v>
      </c>
      <c r="BJ5" s="25"/>
      <c r="BK5" s="25">
        <f>('Radio (RV)'!G16)</f>
        <v>227.9</v>
      </c>
      <c r="BL5" s="25"/>
      <c r="BM5" s="25"/>
      <c r="BN5" s="25" t="s">
        <v>16</v>
      </c>
      <c r="BO5" s="25">
        <f>BP5/BP18*100</f>
        <v>6.0500336198580369</v>
      </c>
      <c r="BP5" s="25">
        <f t="shared" si="6"/>
        <v>3942.6089529614405</v>
      </c>
      <c r="BQ5" s="25">
        <f>('Wireline (RV) '!H14)</f>
        <v>489.13792666666666</v>
      </c>
      <c r="BR5" s="25"/>
      <c r="BS5" s="25">
        <f>('ISPs (RV)'!E11)</f>
        <v>714.10257629477394</v>
      </c>
      <c r="BT5" s="25">
        <f>('CableSatIPTV (RV)'!H3)</f>
        <v>1977.6000000000001</v>
      </c>
      <c r="BU5" s="25">
        <f>('Total TV Universe (RV)'!J17)</f>
        <v>475.36845</v>
      </c>
      <c r="BV5" s="25">
        <f>('Radio (RV)'!H16)</f>
        <v>286.39999999999998</v>
      </c>
      <c r="BW5" s="25"/>
      <c r="BX5" s="25"/>
      <c r="BY5" s="25"/>
      <c r="BZ5" s="63" t="s">
        <v>16</v>
      </c>
      <c r="CA5" s="25">
        <f>CB5/CB17*100</f>
        <v>7.3559119532081869</v>
      </c>
      <c r="CB5" s="25">
        <f t="shared" si="7"/>
        <v>4997.172950000001</v>
      </c>
      <c r="CC5" s="25"/>
      <c r="CD5" s="25"/>
      <c r="CE5" s="25">
        <v>927.5</v>
      </c>
      <c r="CF5" s="25">
        <f>('CableSatIPTV (RV)'!I3)</f>
        <v>2333.6000000000004</v>
      </c>
      <c r="CG5" s="25">
        <f>('Total TV Universe (RV)'!K17)</f>
        <v>1474.9729500000001</v>
      </c>
      <c r="CH5" s="25">
        <f>('Radio (RV)'!I16)</f>
        <v>261.10000000000002</v>
      </c>
      <c r="CI5" s="25"/>
      <c r="CJ5" s="25"/>
      <c r="CK5" s="25"/>
      <c r="CL5" s="25" t="s">
        <v>16</v>
      </c>
      <c r="CM5" s="25">
        <f>CN5/CN20*100</f>
        <v>8.8876145301332592</v>
      </c>
      <c r="CN5" s="25">
        <f t="shared" si="8"/>
        <v>6251.842418288973</v>
      </c>
      <c r="CO5" s="25">
        <f>('Wireline (RV) '!J14)</f>
        <v>560.26007414448668</v>
      </c>
      <c r="CP5" s="362">
        <f>('Wireline (RV) '!J14)</f>
        <v>560.26007414448668</v>
      </c>
      <c r="CQ5" s="25">
        <v>976.6</v>
      </c>
      <c r="CR5" s="25">
        <f>('CableSatIPTV (RV)'!J3)</f>
        <v>2369.6999999999998</v>
      </c>
      <c r="CS5" s="25">
        <f>('Total TV Universe (RV)'!L17)</f>
        <v>1589.3222700000001</v>
      </c>
      <c r="CT5" s="25">
        <f>('Radio (RV)'!J16)</f>
        <v>195.7</v>
      </c>
      <c r="CU5" s="25"/>
      <c r="CV5" s="25"/>
      <c r="CW5" s="25"/>
      <c r="CX5" s="25" t="s">
        <v>16</v>
      </c>
      <c r="CY5" s="25">
        <f>CZ5/CZ20*100</f>
        <v>7.6390995612138992</v>
      </c>
      <c r="CZ5" s="25">
        <f t="shared" si="9"/>
        <v>5484.0865049147833</v>
      </c>
      <c r="DA5" s="25">
        <f>('Wireline (RV) '!K14)</f>
        <v>580.7248491620112</v>
      </c>
      <c r="DB5" s="25"/>
      <c r="DC5" s="362">
        <f>('ISPs (RV)'!H11)</f>
        <v>1016.9887057527725</v>
      </c>
      <c r="DD5" s="25">
        <f>('CableSatIPTV (RV)'!K3)</f>
        <v>2179.5</v>
      </c>
      <c r="DE5" s="25">
        <f>('Total TV Universe (RV)'!M17)</f>
        <v>1515.4729500000001</v>
      </c>
      <c r="DF5" s="25">
        <f>('Radio (RV)'!K16)</f>
        <v>191.4</v>
      </c>
      <c r="DG5" s="25"/>
      <c r="DH5" s="25"/>
      <c r="DI5" s="25"/>
      <c r="DJ5" s="25" t="s">
        <v>16</v>
      </c>
      <c r="DK5" s="25">
        <f>DL5/DL19*100</f>
        <v>7.5681208565185694</v>
      </c>
      <c r="DL5" s="25">
        <f t="shared" si="10"/>
        <v>5526.7801298569493</v>
      </c>
      <c r="DM5" s="25">
        <f>('Wireline (RV) '!L14)</f>
        <v>604.1</v>
      </c>
      <c r="DN5" s="25"/>
      <c r="DO5" s="25">
        <f>('ISPs (RV)'!I11)</f>
        <v>1104.1063818569489</v>
      </c>
      <c r="DP5" s="25">
        <f>('CableSatIPTV (RV)'!L3)</f>
        <v>2124.1</v>
      </c>
      <c r="DQ5" s="25">
        <f>('Total TV Universe (RV)'!N17)</f>
        <v>1510.7737480000001</v>
      </c>
      <c r="DR5" s="25">
        <f>('Radio (RV)'!L16)</f>
        <v>183.7</v>
      </c>
      <c r="DS5" s="25"/>
      <c r="DT5" s="25"/>
      <c r="DU5" s="25"/>
      <c r="DV5" s="25"/>
      <c r="DW5" s="25" t="s">
        <v>16</v>
      </c>
      <c r="DX5" s="57">
        <f>DY5/DY19*100</f>
        <v>7.7460556886301619</v>
      </c>
      <c r="DY5" s="57">
        <f t="shared" si="11"/>
        <v>5708.8930656960001</v>
      </c>
      <c r="DZ5" s="57">
        <f>('Wireline (RV) '!M14)</f>
        <v>718</v>
      </c>
      <c r="EA5" s="25"/>
      <c r="EB5" s="57">
        <f>('ISPs (RV)'!J11)</f>
        <v>1142.5999999999999</v>
      </c>
      <c r="EC5" s="57">
        <f>('CableSatIPTV (RV)'!M3)</f>
        <v>2130.1</v>
      </c>
      <c r="ED5" s="57">
        <f>('Total TV Universe (RV)'!O17)</f>
        <v>1545.5930656959999</v>
      </c>
      <c r="EE5" s="57">
        <f>('Radio (RV)'!M16)</f>
        <v>172.6</v>
      </c>
      <c r="EF5" s="25"/>
      <c r="EG5" s="25"/>
      <c r="EH5" s="25"/>
      <c r="EI5" s="626" t="s">
        <v>8</v>
      </c>
      <c r="EJ5" s="623"/>
      <c r="EK5" s="623"/>
      <c r="EL5" s="25"/>
      <c r="EM5" s="25"/>
      <c r="EN5" s="25"/>
    </row>
    <row r="6" spans="1:144" ht="15.75" customHeight="1" x14ac:dyDescent="0.25">
      <c r="A6" s="25" t="s">
        <v>383</v>
      </c>
      <c r="B6" s="25">
        <f>C6/C33*100</f>
        <v>2.8223709820127239</v>
      </c>
      <c r="C6" s="25">
        <f t="shared" si="0"/>
        <v>548.5</v>
      </c>
      <c r="D6" s="25"/>
      <c r="E6" s="25"/>
      <c r="F6" s="25"/>
      <c r="G6" s="25"/>
      <c r="H6" s="25">
        <v>548.5</v>
      </c>
      <c r="I6" s="25"/>
      <c r="J6" s="25"/>
      <c r="K6" s="25" t="s">
        <v>383</v>
      </c>
      <c r="L6" s="25">
        <f>M6/M35*100</f>
        <v>3.2929078488770038</v>
      </c>
      <c r="M6" s="25">
        <f t="shared" ref="M6:M7" si="12">SUM(Q6:S6)</f>
        <v>752.9</v>
      </c>
      <c r="N6" s="25"/>
      <c r="O6" s="25"/>
      <c r="P6" s="25"/>
      <c r="Q6" s="25"/>
      <c r="R6" s="25">
        <v>752.9</v>
      </c>
      <c r="S6" s="25"/>
      <c r="T6" s="25"/>
      <c r="U6" s="25" t="s">
        <v>383</v>
      </c>
      <c r="V6" s="25">
        <f>W6/W34*100</f>
        <v>3.2347958699948527</v>
      </c>
      <c r="W6" s="25">
        <f t="shared" si="2"/>
        <v>809.5</v>
      </c>
      <c r="X6" s="25"/>
      <c r="Y6" s="25"/>
      <c r="Z6" s="25"/>
      <c r="AA6" s="25"/>
      <c r="AB6" s="25">
        <v>809.5</v>
      </c>
      <c r="AC6" s="25"/>
      <c r="AD6" s="25"/>
      <c r="AE6" s="25" t="s">
        <v>178</v>
      </c>
      <c r="AF6" s="25">
        <f>AG6/AG30*100</f>
        <v>4.4225077765208063</v>
      </c>
      <c r="AG6" s="25">
        <f t="shared" si="3"/>
        <v>1405.3999999999999</v>
      </c>
      <c r="AH6" s="25"/>
      <c r="AI6" s="25"/>
      <c r="AJ6" s="25"/>
      <c r="AK6" s="25"/>
      <c r="AL6" s="395">
        <f>('Total TV Universe (RV)'!F25)</f>
        <v>1116.4099999999999</v>
      </c>
      <c r="AM6" s="25"/>
      <c r="AN6" s="25">
        <f>('Radio (RV)'!E12)</f>
        <v>288.98999999999995</v>
      </c>
      <c r="AO6" s="25"/>
      <c r="AP6" s="25" t="s">
        <v>248</v>
      </c>
      <c r="AQ6" s="25">
        <f>AR6/AR27*100</f>
        <v>3.2953127411937859</v>
      </c>
      <c r="AR6" s="25">
        <f t="shared" si="4"/>
        <v>1458.9</v>
      </c>
      <c r="AS6" s="25">
        <f>('Wireline (RV) '!F24)</f>
        <v>1458.9</v>
      </c>
      <c r="AT6" s="25"/>
      <c r="AU6" s="25"/>
      <c r="AV6" s="25"/>
      <c r="AW6" s="25"/>
      <c r="AX6" s="25"/>
      <c r="AY6" s="25"/>
      <c r="AZ6" s="25"/>
      <c r="BA6" s="25"/>
      <c r="BB6" s="25" t="s">
        <v>90</v>
      </c>
      <c r="BC6" s="25">
        <f>BD6/BD30*100</f>
        <v>4.1381857670356483</v>
      </c>
      <c r="BD6" s="25">
        <f t="shared" si="5"/>
        <v>2167</v>
      </c>
      <c r="BE6" s="25">
        <f>('Wireline (RV) '!G16)</f>
        <v>10.6</v>
      </c>
      <c r="BF6" s="25"/>
      <c r="BG6" s="25">
        <v>222.5</v>
      </c>
      <c r="BH6" s="25">
        <f>('CableSatIPTV (RV)'!G27)</f>
        <v>705.5</v>
      </c>
      <c r="BI6" s="362">
        <f>('Total TV Universe (RV)'!I29)</f>
        <v>271.2</v>
      </c>
      <c r="BJ6" s="25">
        <f>881.1+76.1</f>
        <v>957.2</v>
      </c>
      <c r="BK6" s="25"/>
      <c r="BL6" s="25"/>
      <c r="BM6" s="25"/>
      <c r="BN6" s="63" t="s">
        <v>90</v>
      </c>
      <c r="BO6" s="25">
        <f>BP6/BP18*100</f>
        <v>5.0430643072949746</v>
      </c>
      <c r="BP6" s="25">
        <f t="shared" si="6"/>
        <v>3286.4</v>
      </c>
      <c r="BQ6" s="25">
        <f>('Wireline (RV) '!H16)</f>
        <v>368.4</v>
      </c>
      <c r="BR6" s="25">
        <f>('Wireless (RV)'!H12)</f>
        <v>40.6</v>
      </c>
      <c r="BS6" s="25">
        <f>('ISPs (RV)'!E13)</f>
        <v>438.1</v>
      </c>
      <c r="BT6" s="25">
        <v>836.4</v>
      </c>
      <c r="BU6" s="25">
        <f>('Total TV Universe (RV)'!J29)</f>
        <v>342.90000000000003</v>
      </c>
      <c r="BV6" s="25"/>
      <c r="BW6" s="24">
        <f>1181.4+78.6</f>
        <v>1260</v>
      </c>
      <c r="BX6" s="25"/>
      <c r="BY6" s="25"/>
      <c r="BZ6" s="25" t="s">
        <v>90</v>
      </c>
      <c r="CA6" s="25">
        <f>CB6/CB17*100</f>
        <v>5.2031302981028444</v>
      </c>
      <c r="CB6" s="25">
        <f t="shared" si="7"/>
        <v>3534.7</v>
      </c>
      <c r="CC6" s="362">
        <f>('Wireline (RV) '!J16)</f>
        <v>436.7</v>
      </c>
      <c r="CD6" s="40">
        <f>('Wireless (RV)'!I12)</f>
        <v>59.6</v>
      </c>
      <c r="CE6" s="25">
        <v>644.29999999999995</v>
      </c>
      <c r="CF6" s="25">
        <f>('CableSatIPTV (RV)'!I27)</f>
        <v>982</v>
      </c>
      <c r="CG6" s="362">
        <f>('Total TV Universe (RV)'!K29)</f>
        <v>377.3</v>
      </c>
      <c r="CH6" s="25"/>
      <c r="CI6" s="25">
        <f>1034.8</f>
        <v>1034.8</v>
      </c>
      <c r="CJ6" s="25"/>
      <c r="CK6" s="25"/>
      <c r="CL6" s="63" t="s">
        <v>90</v>
      </c>
      <c r="CM6" s="25">
        <f>CN6/CN20*100</f>
        <v>5.3400954450367646</v>
      </c>
      <c r="CN6" s="25">
        <f t="shared" si="8"/>
        <v>3756.4</v>
      </c>
      <c r="CO6" s="25">
        <f>('Wireline (RV) '!J16)</f>
        <v>436.7</v>
      </c>
      <c r="CP6" s="25">
        <f>('Wireless (RV)'!J12)</f>
        <v>112.7</v>
      </c>
      <c r="CQ6" s="25">
        <v>698.2</v>
      </c>
      <c r="CR6" s="25">
        <f>('CableSatIPTV (RV)'!J27)</f>
        <v>1040.9000000000001</v>
      </c>
      <c r="CS6" s="25">
        <f>('Total TV Universe (RV)'!L29)</f>
        <v>378.9</v>
      </c>
      <c r="CT6" s="25"/>
      <c r="CU6" s="25">
        <f>1018.4+70.6</f>
        <v>1089</v>
      </c>
      <c r="CV6" s="25"/>
      <c r="CW6" s="25"/>
      <c r="CX6" s="63" t="s">
        <v>90</v>
      </c>
      <c r="CY6" s="25">
        <f>CZ6/CZ20*100</f>
        <v>5.4355988515232383</v>
      </c>
      <c r="CZ6" s="25">
        <f t="shared" si="9"/>
        <v>3902.2000000000003</v>
      </c>
      <c r="DA6" s="25">
        <f>('Wireline (RV) '!K16)</f>
        <v>454.9</v>
      </c>
      <c r="DB6" s="25">
        <f>('Wireless (RV)'!K12)</f>
        <v>171.6</v>
      </c>
      <c r="DC6" s="25">
        <f>('ISPs (RV)'!H13)</f>
        <v>772.5</v>
      </c>
      <c r="DD6" s="25">
        <f>('CableSatIPTV (RV)'!K27)</f>
        <v>1086.3</v>
      </c>
      <c r="DE6" s="25">
        <f>('Total TV Universe (RV)'!M29)</f>
        <v>389.5</v>
      </c>
      <c r="DF6" s="25"/>
      <c r="DG6" s="25">
        <f>960+67.4</f>
        <v>1027.4000000000001</v>
      </c>
      <c r="DH6" s="25"/>
      <c r="DI6" s="25"/>
      <c r="DJ6" s="63" t="s">
        <v>90</v>
      </c>
      <c r="DK6" s="25">
        <f>DL6/DL19*100</f>
        <v>5.3552549616392522</v>
      </c>
      <c r="DL6" s="25">
        <f t="shared" si="10"/>
        <v>3910.7880639634495</v>
      </c>
      <c r="DM6" s="25">
        <f>('Wireline (RV) '!L16)</f>
        <v>473.8</v>
      </c>
      <c r="DN6" s="25">
        <f>('Wireless (RV)'!L12)</f>
        <v>220.7</v>
      </c>
      <c r="DO6" s="25">
        <f>('ISPs (RV)'!I13)</f>
        <v>818.4</v>
      </c>
      <c r="DP6" s="25">
        <f>('CableSatIPTV (RV)'!L27)</f>
        <v>1090</v>
      </c>
      <c r="DQ6" s="25">
        <f>('Total TV Universe (RV)'!N29)</f>
        <v>380.1</v>
      </c>
      <c r="DR6" s="25"/>
      <c r="DS6" s="9">
        <f>('Magazines (RV)'!L8)+('Newspaper (RV)'!L4)</f>
        <v>927.78806396344953</v>
      </c>
      <c r="DT6" s="25"/>
      <c r="DU6" s="25"/>
      <c r="DV6" s="25"/>
      <c r="DW6" s="63" t="s">
        <v>90</v>
      </c>
      <c r="DX6" s="57">
        <f>DY6/DY19*100</f>
        <v>5.3374023495830949</v>
      </c>
      <c r="DY6" s="57">
        <f t="shared" si="11"/>
        <v>3933.7000000000003</v>
      </c>
      <c r="DZ6" s="57">
        <f>('Wireline (RV) '!M15)</f>
        <v>478</v>
      </c>
      <c r="EA6" s="57">
        <f>('Wireless (RV)'!M12)</f>
        <v>287.7</v>
      </c>
      <c r="EB6" s="57">
        <f>('ISPs (RV)'!J13)</f>
        <v>868.3</v>
      </c>
      <c r="EC6" s="57">
        <f>('CableSatIPTV (RV)'!M27)</f>
        <v>1080</v>
      </c>
      <c r="ED6" s="57">
        <f>('Total TV Universe (RV)'!O29)</f>
        <v>392.3</v>
      </c>
      <c r="EE6" s="25"/>
      <c r="EF6" s="57">
        <f>('Magazines (RV)'!M8)+('Newspaper (RV)'!M4)</f>
        <v>827.4</v>
      </c>
      <c r="EG6" s="25"/>
      <c r="EH6" s="25"/>
      <c r="EI6" s="623"/>
      <c r="EJ6" s="623"/>
      <c r="EK6" s="623"/>
      <c r="EL6" s="25"/>
      <c r="EM6" s="25"/>
      <c r="EN6" s="25"/>
    </row>
    <row r="7" spans="1:144" ht="15.75" customHeight="1" x14ac:dyDescent="0.25">
      <c r="A7" s="25" t="s">
        <v>408</v>
      </c>
      <c r="B7" s="25">
        <f>C7/C33*100</f>
        <v>2.0099397885614474</v>
      </c>
      <c r="C7" s="25">
        <f t="shared" si="0"/>
        <v>390.61200000000002</v>
      </c>
      <c r="D7" s="25"/>
      <c r="E7" s="25"/>
      <c r="F7" s="25"/>
      <c r="G7" s="25"/>
      <c r="H7" s="25">
        <f>('Newspaper (RV)'!B13)</f>
        <v>390.61200000000002</v>
      </c>
      <c r="I7" s="25"/>
      <c r="J7" s="25"/>
      <c r="K7" s="25" t="s">
        <v>408</v>
      </c>
      <c r="L7" s="25">
        <f>M7/M35*100</f>
        <v>2.3241307733588057</v>
      </c>
      <c r="M7" s="25">
        <f t="shared" si="12"/>
        <v>531.39600000000007</v>
      </c>
      <c r="N7" s="25"/>
      <c r="O7" s="25"/>
      <c r="P7" s="25"/>
      <c r="Q7" s="25"/>
      <c r="R7" s="25">
        <f>('Newspaper (RV)'!C13)</f>
        <v>531.39600000000007</v>
      </c>
      <c r="S7" s="25"/>
      <c r="T7" s="25"/>
      <c r="U7" s="25" t="s">
        <v>408</v>
      </c>
      <c r="V7" s="25">
        <f>W7/W34*100</f>
        <v>2.4307922516588865</v>
      </c>
      <c r="W7" s="25">
        <f t="shared" si="2"/>
        <v>608.29999999999995</v>
      </c>
      <c r="X7" s="25"/>
      <c r="Y7" s="25"/>
      <c r="Z7" s="25"/>
      <c r="AA7" s="25"/>
      <c r="AB7" s="454">
        <f>494.3+114</f>
        <v>608.29999999999995</v>
      </c>
      <c r="AC7" s="25"/>
      <c r="AD7" s="25"/>
      <c r="AE7" s="63" t="s">
        <v>150</v>
      </c>
      <c r="AF7" s="25">
        <f>AG7/AG30*100</f>
        <v>2.6678540578727339</v>
      </c>
      <c r="AG7" s="25">
        <f t="shared" si="3"/>
        <v>847.8</v>
      </c>
      <c r="AH7" s="25"/>
      <c r="AI7" s="25"/>
      <c r="AJ7" s="24">
        <v>1.9</v>
      </c>
      <c r="AK7" s="108">
        <v>634.70000000000005</v>
      </c>
      <c r="AL7" s="25">
        <v>211.2</v>
      </c>
      <c r="AM7" s="108"/>
      <c r="AN7" s="25"/>
      <c r="AO7" s="25"/>
      <c r="AP7" s="25" t="s">
        <v>90</v>
      </c>
      <c r="AQ7" s="25">
        <f>AR7/AR27*100</f>
        <v>2.5133281836495476</v>
      </c>
      <c r="AR7" s="25">
        <f t="shared" si="4"/>
        <v>1112.7</v>
      </c>
      <c r="AS7" s="25"/>
      <c r="AT7" s="25"/>
      <c r="AU7" s="25"/>
      <c r="AV7" s="25"/>
      <c r="AW7" s="25">
        <f>('Total TV Universe (RV)'!H29)</f>
        <v>233.20000000000002</v>
      </c>
      <c r="AX7" s="25">
        <f>850.1+29.4</f>
        <v>879.5</v>
      </c>
      <c r="AY7" s="25"/>
      <c r="AZ7" s="25"/>
      <c r="BA7" s="25"/>
      <c r="BB7" s="25" t="s">
        <v>386</v>
      </c>
      <c r="BC7" s="25">
        <f>BD7/BD30*100</f>
        <v>3.6403431138440494</v>
      </c>
      <c r="BD7" s="25">
        <f t="shared" si="5"/>
        <v>1906.3</v>
      </c>
      <c r="BE7" s="25"/>
      <c r="BF7" s="25"/>
      <c r="BG7" s="25"/>
      <c r="BH7" s="25"/>
      <c r="BI7" s="25">
        <v>712.7</v>
      </c>
      <c r="BJ7" s="25">
        <v>1193.5999999999999</v>
      </c>
      <c r="BK7" s="25"/>
      <c r="BL7" s="25"/>
      <c r="BM7" s="25"/>
      <c r="BN7" s="25" t="s">
        <v>386</v>
      </c>
      <c r="BO7" s="25">
        <f>BP7/BP18*100</f>
        <v>3.5734493221755739</v>
      </c>
      <c r="BP7" s="25">
        <f t="shared" si="6"/>
        <v>2328.6999999999998</v>
      </c>
      <c r="BQ7" s="25"/>
      <c r="BR7" s="25"/>
      <c r="BS7" s="25"/>
      <c r="BT7" s="25"/>
      <c r="BU7" s="362">
        <f>('Total TV Universe (RV)'!J20)</f>
        <v>1030.7</v>
      </c>
      <c r="BV7" s="25"/>
      <c r="BW7" s="25">
        <v>1298</v>
      </c>
      <c r="BX7" s="25"/>
      <c r="BY7" s="25"/>
      <c r="BZ7" s="63" t="s">
        <v>469</v>
      </c>
      <c r="CA7" s="25">
        <f>CB7/CB17*100</f>
        <v>3.3096778120503685</v>
      </c>
      <c r="CB7" s="25">
        <f t="shared" si="7"/>
        <v>2248.4</v>
      </c>
      <c r="CC7" s="25"/>
      <c r="CD7" s="25"/>
      <c r="CE7" s="25"/>
      <c r="CF7" s="25"/>
      <c r="CG7" s="25">
        <v>1691.8000000000002</v>
      </c>
      <c r="CH7" s="25">
        <v>161.19999999999999</v>
      </c>
      <c r="CI7" s="25">
        <v>395.4</v>
      </c>
      <c r="CJ7" s="25"/>
      <c r="CK7" s="25"/>
      <c r="CL7" s="25" t="s">
        <v>178</v>
      </c>
      <c r="CM7" s="25">
        <f>CN7/CN20*100</f>
        <v>2.6089189545126903</v>
      </c>
      <c r="CN7" s="25">
        <f t="shared" si="8"/>
        <v>1835.1999999999998</v>
      </c>
      <c r="CO7" s="25"/>
      <c r="CP7" s="25"/>
      <c r="CQ7" s="25"/>
      <c r="CR7" s="25"/>
      <c r="CS7" s="25">
        <f>('Total TV Universe (RV)'!L25)</f>
        <v>1498.3</v>
      </c>
      <c r="CT7" s="25">
        <f>('Radio (RV)'!J12)</f>
        <v>336.9</v>
      </c>
      <c r="CU7" s="25"/>
      <c r="CV7" s="25"/>
      <c r="CW7" s="25"/>
      <c r="CX7" s="25" t="s">
        <v>178</v>
      </c>
      <c r="CY7" s="25">
        <f>CZ7/CZ20*100</f>
        <v>2.5949405721138432</v>
      </c>
      <c r="CZ7" s="25">
        <f t="shared" si="9"/>
        <v>1862.8999999999999</v>
      </c>
      <c r="DA7" s="25"/>
      <c r="DB7" s="25"/>
      <c r="DC7" s="25"/>
      <c r="DD7" s="25"/>
      <c r="DE7" s="25">
        <f>('Total TV Universe (RV)'!M25)</f>
        <v>1537.1</v>
      </c>
      <c r="DF7" s="25">
        <f>('Radio (RV)'!K12)</f>
        <v>325.8</v>
      </c>
      <c r="DG7" s="25"/>
      <c r="DH7" s="25"/>
      <c r="DI7" s="25"/>
      <c r="DJ7" s="25" t="s">
        <v>178</v>
      </c>
      <c r="DK7" s="25">
        <f>DL7/DL19*100</f>
        <v>2.345156397457262</v>
      </c>
      <c r="DL7" s="25">
        <f t="shared" si="10"/>
        <v>1712.6000000000001</v>
      </c>
      <c r="DM7" s="25"/>
      <c r="DN7" s="25"/>
      <c r="DO7" s="25"/>
      <c r="DP7" s="25"/>
      <c r="DQ7" s="9">
        <f>('Total TV Universe (RV)'!N25)</f>
        <v>1407.8000000000002</v>
      </c>
      <c r="DR7" s="25">
        <f>('Radio (RV)'!L12)</f>
        <v>304.8</v>
      </c>
      <c r="DS7" s="25"/>
      <c r="DT7" s="25"/>
      <c r="DU7" s="25"/>
      <c r="DV7" s="25"/>
      <c r="DW7" s="25" t="s">
        <v>178</v>
      </c>
      <c r="DX7" s="57">
        <f>DY7/DY19*100</f>
        <v>2.3298303313595681</v>
      </c>
      <c r="DY7" s="57">
        <f t="shared" si="11"/>
        <v>1717.1000000000001</v>
      </c>
      <c r="DZ7" s="25"/>
      <c r="EA7" s="25"/>
      <c r="EB7" s="25"/>
      <c r="EC7" s="25"/>
      <c r="ED7" s="57">
        <f>('Total TV Universe (RV)'!O25)</f>
        <v>1428.4</v>
      </c>
      <c r="EE7" s="57">
        <f>('Radio (RV)'!M12)</f>
        <v>288.7</v>
      </c>
      <c r="EF7" s="25"/>
      <c r="EG7" s="25"/>
      <c r="EH7" s="25"/>
      <c r="EI7" s="623"/>
      <c r="EJ7" s="623"/>
      <c r="EK7" s="623"/>
      <c r="EL7" s="25"/>
      <c r="EM7" s="25"/>
      <c r="EN7" s="25"/>
    </row>
    <row r="8" spans="1:144" ht="15.75" customHeight="1" x14ac:dyDescent="0.25">
      <c r="A8" s="25" t="s">
        <v>629</v>
      </c>
      <c r="B8" s="25">
        <f>C8/C33*100</f>
        <v>1.9692276660278383</v>
      </c>
      <c r="C8" s="25">
        <f t="shared" si="0"/>
        <v>382.7</v>
      </c>
      <c r="D8" s="24">
        <f>('Wireline (RV) '!B17)</f>
        <v>382.7</v>
      </c>
      <c r="E8" s="25"/>
      <c r="F8" s="25"/>
      <c r="G8" s="25"/>
      <c r="H8" s="25"/>
      <c r="I8" s="25"/>
      <c r="J8" s="25"/>
      <c r="K8" s="25" t="s">
        <v>629</v>
      </c>
      <c r="L8" s="25">
        <f>M8/M35*100</f>
        <v>2.2454228843318553</v>
      </c>
      <c r="M8" s="25">
        <f t="shared" ref="M8:M35" si="13">SUM(N8:S8)</f>
        <v>513.4</v>
      </c>
      <c r="N8" s="24">
        <f>('Wireline (RV) '!C17)</f>
        <v>513.4</v>
      </c>
      <c r="O8" s="25"/>
      <c r="P8" s="25"/>
      <c r="Q8" s="25"/>
      <c r="R8" s="25"/>
      <c r="S8" s="25"/>
      <c r="T8" s="25"/>
      <c r="U8" s="25" t="s">
        <v>17</v>
      </c>
      <c r="V8" s="25">
        <f>W8/W34*100</f>
        <v>3.4909421519796204</v>
      </c>
      <c r="W8" s="25">
        <f t="shared" si="2"/>
        <v>873.59999999999991</v>
      </c>
      <c r="X8" s="25"/>
      <c r="Y8" s="25">
        <f>('Wireless (RV)'!D3)</f>
        <v>239.5</v>
      </c>
      <c r="Z8" s="25">
        <v>509.4</v>
      </c>
      <c r="AA8" s="25">
        <f>('Total TV Universe (RV)'!E26)</f>
        <v>88.699999999999989</v>
      </c>
      <c r="AB8" s="25"/>
      <c r="AC8" s="25">
        <f>('Radio (RV)'!D13)</f>
        <v>36</v>
      </c>
      <c r="AD8" s="25"/>
      <c r="AE8" s="25" t="s">
        <v>629</v>
      </c>
      <c r="AF8" s="25">
        <f>AG8/AG30*100</f>
        <v>1.9211192525728993</v>
      </c>
      <c r="AG8" s="25">
        <f t="shared" si="3"/>
        <v>610.5</v>
      </c>
      <c r="AH8" s="24">
        <f>('Wireline (RV) '!E17)</f>
        <v>608.70000000000005</v>
      </c>
      <c r="AI8" s="25"/>
      <c r="AJ8" s="24">
        <v>1.8</v>
      </c>
      <c r="AK8" s="25"/>
      <c r="AL8" s="25"/>
      <c r="AM8" s="25"/>
      <c r="AN8" s="25"/>
      <c r="AO8" s="25"/>
      <c r="AP8" s="25" t="s">
        <v>178</v>
      </c>
      <c r="AQ8" s="25">
        <f>AR8/AR27*100</f>
        <v>3.4701411778024625</v>
      </c>
      <c r="AR8" s="25">
        <f t="shared" si="4"/>
        <v>1536.3</v>
      </c>
      <c r="AS8" s="25"/>
      <c r="AT8" s="25"/>
      <c r="AU8" s="25"/>
      <c r="AV8" s="25"/>
      <c r="AW8" s="24">
        <f>('Total TV Universe (RV)'!H25)</f>
        <v>1255.8899999999999</v>
      </c>
      <c r="AX8" s="25"/>
      <c r="AY8" s="25">
        <f>('Radio (RV)'!F12)</f>
        <v>280.41000000000003</v>
      </c>
      <c r="AZ8" s="25"/>
      <c r="BA8" s="25"/>
      <c r="BB8" s="25" t="s">
        <v>178</v>
      </c>
      <c r="BC8" s="25">
        <f>BD8/BD30*100</f>
        <v>2.9528733971237755</v>
      </c>
      <c r="BD8" s="25">
        <f t="shared" si="5"/>
        <v>1546.3</v>
      </c>
      <c r="BE8" s="25"/>
      <c r="BF8" s="25"/>
      <c r="BG8" s="25"/>
      <c r="BH8" s="25"/>
      <c r="BI8" s="24">
        <f>('Total TV Universe (RV)'!I25)</f>
        <v>1230.25</v>
      </c>
      <c r="BJ8" s="25"/>
      <c r="BK8" s="25">
        <f>('Radio (RV)'!G12)</f>
        <v>316.05</v>
      </c>
      <c r="BL8" s="25"/>
      <c r="BM8" s="25"/>
      <c r="BN8" s="25" t="s">
        <v>499</v>
      </c>
      <c r="BO8" s="25">
        <f>BP8/BP18*100</f>
        <v>3.2378486150171604</v>
      </c>
      <c r="BP8" s="25">
        <f t="shared" si="6"/>
        <v>2110</v>
      </c>
      <c r="BQ8" s="25"/>
      <c r="BR8" s="25"/>
      <c r="BS8" s="25"/>
      <c r="BT8" s="25"/>
      <c r="BU8" s="25">
        <f>('Total TV Universe (RV)'!J5)</f>
        <v>1515.8000000000002</v>
      </c>
      <c r="BV8" s="25">
        <v>172.1</v>
      </c>
      <c r="BW8" s="25">
        <v>422.1</v>
      </c>
      <c r="BX8" s="25"/>
      <c r="BY8" s="25"/>
      <c r="BZ8" s="25" t="s">
        <v>178</v>
      </c>
      <c r="CA8" s="25">
        <f>CB8/CB17*100</f>
        <v>2.7994775231086058</v>
      </c>
      <c r="CB8" s="25">
        <f t="shared" si="7"/>
        <v>1901.8</v>
      </c>
      <c r="CC8" s="25"/>
      <c r="CD8" s="25"/>
      <c r="CE8" s="25"/>
      <c r="CF8" s="25"/>
      <c r="CG8" s="24">
        <f>('Total TV Universe (RV)'!M25)</f>
        <v>1537.1</v>
      </c>
      <c r="CH8" s="25">
        <f>('Radio (RV)'!I12)</f>
        <v>364.7</v>
      </c>
      <c r="CI8" s="25"/>
      <c r="CJ8" s="25"/>
      <c r="CK8" s="25"/>
      <c r="CL8" s="25" t="s">
        <v>540</v>
      </c>
      <c r="CM8" s="25">
        <f>CN8/CN20*100</f>
        <v>2.5617218592152722</v>
      </c>
      <c r="CN8" s="25">
        <f t="shared" si="8"/>
        <v>1802</v>
      </c>
      <c r="CO8" s="25">
        <f>('Wireline (RV) '!J13)</f>
        <v>1272.6000000000001</v>
      </c>
      <c r="CP8" s="25">
        <f>('Wireless (RV)'!J11)</f>
        <v>356.3</v>
      </c>
      <c r="CQ8" s="25">
        <v>102.5</v>
      </c>
      <c r="CR8" s="25">
        <f>('CableSatIPTV (RV)'!J39)</f>
        <v>70.599999999999994</v>
      </c>
      <c r="CS8" s="25"/>
      <c r="CT8" s="25"/>
      <c r="CU8" s="25"/>
      <c r="CV8" s="25"/>
      <c r="CW8" s="25"/>
      <c r="CX8" s="25" t="s">
        <v>540</v>
      </c>
      <c r="CY8" s="25">
        <f>CZ8/CZ20*100</f>
        <v>2.4220745433418602</v>
      </c>
      <c r="CZ8" s="25">
        <f t="shared" si="9"/>
        <v>1738.8000000000002</v>
      </c>
      <c r="DA8" s="25">
        <f>('Wireline (RV) '!K13)</f>
        <v>1188.1000000000004</v>
      </c>
      <c r="DB8" s="25">
        <f>('Wireless (RV)'!K11)</f>
        <v>362.1</v>
      </c>
      <c r="DC8" s="25">
        <f>('ISPs (RV)'!H20)</f>
        <v>110.1</v>
      </c>
      <c r="DD8" s="25">
        <f>('CableSatIPTV (RV)'!K39)</f>
        <v>78.5</v>
      </c>
      <c r="DE8" s="25"/>
      <c r="DF8" s="25"/>
      <c r="DG8" s="25"/>
      <c r="DH8" s="25"/>
      <c r="DI8" s="25"/>
      <c r="DJ8" s="25" t="s">
        <v>540</v>
      </c>
      <c r="DK8" s="25">
        <f>DL8/DL19*100</f>
        <v>2.2849048025208378</v>
      </c>
      <c r="DL8" s="25">
        <f t="shared" si="10"/>
        <v>1668.6</v>
      </c>
      <c r="DM8" s="25">
        <f>('Wireline (RV) '!L13)</f>
        <v>1093.5999999999999</v>
      </c>
      <c r="DN8" s="25">
        <f>('Wireless (RV)'!L11)</f>
        <v>375.3</v>
      </c>
      <c r="DO8" s="25">
        <f>('ISPs (RV)'!I20)</f>
        <v>117.7</v>
      </c>
      <c r="DP8" s="63">
        <f>('CableSatIPTV (RV)'!L39)</f>
        <v>82</v>
      </c>
      <c r="DQ8" s="25"/>
      <c r="DR8" s="25"/>
      <c r="DS8" s="25"/>
      <c r="DT8" s="25"/>
      <c r="DU8" s="25"/>
      <c r="DV8" s="25"/>
      <c r="DW8" s="25" t="s">
        <v>540</v>
      </c>
      <c r="DX8" s="57">
        <f>DY8/DY19*100</f>
        <v>2.2332233081269073</v>
      </c>
      <c r="DY8" s="57">
        <f t="shared" si="11"/>
        <v>1645.9</v>
      </c>
      <c r="DZ8" s="57">
        <f>('Wireline (RV) '!M13)</f>
        <v>1066.5</v>
      </c>
      <c r="EA8" s="57">
        <f>('Wireless (RV)'!M11)</f>
        <v>365.7</v>
      </c>
      <c r="EB8" s="57">
        <f>('ISPs (RV)'!J20)</f>
        <v>128.5</v>
      </c>
      <c r="EC8" s="57">
        <f>('CableSatIPTV (RV)'!M39)</f>
        <v>85.2</v>
      </c>
      <c r="ED8" s="25"/>
      <c r="EE8" s="25"/>
      <c r="EF8" s="25"/>
      <c r="EG8" s="25"/>
      <c r="EH8" s="25"/>
      <c r="EI8" s="623"/>
      <c r="EJ8" s="623"/>
      <c r="EK8" s="623"/>
      <c r="EL8" s="25"/>
      <c r="EM8" s="25"/>
      <c r="EN8" s="25"/>
    </row>
    <row r="9" spans="1:144" ht="15.75" customHeight="1" x14ac:dyDescent="0.25">
      <c r="A9" s="63" t="s">
        <v>415</v>
      </c>
      <c r="B9" s="25">
        <f>C9/C33*100</f>
        <v>1.9507034444503621</v>
      </c>
      <c r="C9" s="25">
        <f t="shared" si="0"/>
        <v>379.1</v>
      </c>
      <c r="D9" s="25"/>
      <c r="E9" s="25"/>
      <c r="F9" s="25">
        <v>47.4</v>
      </c>
      <c r="G9" s="25">
        <v>34.799999999999997</v>
      </c>
      <c r="H9" s="25">
        <f>125.9+153.7</f>
        <v>279.60000000000002</v>
      </c>
      <c r="I9" s="25">
        <v>17.3</v>
      </c>
      <c r="J9" s="25"/>
      <c r="K9" s="25" t="s">
        <v>28</v>
      </c>
      <c r="L9" s="25">
        <f>M9/M35*100</f>
        <v>1.988253298046867</v>
      </c>
      <c r="M9" s="25">
        <f t="shared" si="13"/>
        <v>454.6</v>
      </c>
      <c r="N9" s="24">
        <f>('Wireline (RV) '!C13)</f>
        <v>454.6</v>
      </c>
      <c r="O9" s="25"/>
      <c r="P9" s="25"/>
      <c r="Q9" s="25"/>
      <c r="R9" s="25"/>
      <c r="S9" s="25"/>
      <c r="T9" s="25"/>
      <c r="U9" s="63" t="s">
        <v>642</v>
      </c>
      <c r="V9" s="25">
        <f>W9/W34*100</f>
        <v>2.1710495320175456</v>
      </c>
      <c r="W9" s="25">
        <f t="shared" si="2"/>
        <v>543.29999999999995</v>
      </c>
      <c r="X9" s="24">
        <v>543.29999999999995</v>
      </c>
      <c r="Y9" s="25"/>
      <c r="Z9" s="25"/>
      <c r="AA9" s="25"/>
      <c r="AB9" s="25"/>
      <c r="AC9" s="25"/>
      <c r="AD9" s="25"/>
      <c r="AE9" s="63" t="s">
        <v>642</v>
      </c>
      <c r="AF9" s="25">
        <f>AG9/AG30*100</f>
        <v>1.884931093024024</v>
      </c>
      <c r="AG9" s="25">
        <f t="shared" si="3"/>
        <v>599</v>
      </c>
      <c r="AH9" s="24">
        <v>595</v>
      </c>
      <c r="AI9" s="25"/>
      <c r="AJ9" s="24">
        <v>4</v>
      </c>
      <c r="AK9" s="25"/>
      <c r="AL9" s="25"/>
      <c r="AM9" s="25"/>
      <c r="AN9" s="25"/>
      <c r="AO9" s="25"/>
      <c r="AP9" s="25" t="s">
        <v>385</v>
      </c>
      <c r="AQ9" s="25">
        <f>AR9/AR27*100</f>
        <v>2.4060368304336284</v>
      </c>
      <c r="AR9" s="25">
        <f t="shared" si="4"/>
        <v>1065.2</v>
      </c>
      <c r="AS9" s="25"/>
      <c r="AT9" s="25"/>
      <c r="AU9" s="25"/>
      <c r="AV9" s="25"/>
      <c r="AW9" s="25"/>
      <c r="AX9" s="25">
        <v>1065.2</v>
      </c>
      <c r="AY9" s="25"/>
      <c r="AZ9" s="25"/>
      <c r="BA9" s="25"/>
      <c r="BB9" s="25" t="s">
        <v>28</v>
      </c>
      <c r="BC9" s="25">
        <f>BD9/BD30*100</f>
        <v>2.9120071417409599</v>
      </c>
      <c r="BD9" s="25">
        <f t="shared" si="5"/>
        <v>1524.9</v>
      </c>
      <c r="BE9" s="24">
        <f>('Wireline (RV) '!G13)</f>
        <v>1287.5999999999999</v>
      </c>
      <c r="BF9" s="25">
        <f>('Wireless (RV)'!G11)</f>
        <v>181.9</v>
      </c>
      <c r="BG9" s="24">
        <v>47</v>
      </c>
      <c r="BH9" s="362">
        <f>('CableSatIPTV (RV)'!G39)</f>
        <v>8.4</v>
      </c>
      <c r="BI9" s="24"/>
      <c r="BJ9" s="25"/>
      <c r="BK9" s="25"/>
      <c r="BL9" s="25"/>
      <c r="BM9" s="25"/>
      <c r="BN9" s="25" t="s">
        <v>540</v>
      </c>
      <c r="BO9" s="25">
        <f>BP9/BP18*100</f>
        <v>2.874166092856465</v>
      </c>
      <c r="BP9" s="25">
        <f t="shared" si="6"/>
        <v>1873</v>
      </c>
      <c r="BQ9" s="25">
        <f>('Wireline (RV) '!H13)</f>
        <v>1446.5</v>
      </c>
      <c r="BR9" s="25">
        <f>('Wireless (RV)'!H11)</f>
        <v>291.60000000000002</v>
      </c>
      <c r="BS9" s="25">
        <f>('ISPs (RV)'!E20)</f>
        <v>84.9</v>
      </c>
      <c r="BT9" s="25">
        <f>('CableSatIPTV (RV)'!H39)</f>
        <v>50</v>
      </c>
      <c r="BU9" s="25"/>
      <c r="BV9" s="25"/>
      <c r="BW9" s="25"/>
      <c r="BX9" s="25"/>
      <c r="BY9" s="25"/>
      <c r="BZ9" s="25" t="s">
        <v>540</v>
      </c>
      <c r="CA9" s="25">
        <f>CB9/CB17*100</f>
        <v>2.6141508745864832</v>
      </c>
      <c r="CB9" s="25">
        <f t="shared" si="7"/>
        <v>1775.9</v>
      </c>
      <c r="CC9" s="24">
        <f>('Wireline (RV) '!I13)</f>
        <v>1294.8</v>
      </c>
      <c r="CD9" s="40">
        <f>('Wireless (RV)'!I11)</f>
        <v>328.2</v>
      </c>
      <c r="CE9" s="25">
        <v>96</v>
      </c>
      <c r="CF9" s="25">
        <f>('CableSatIPTV (RV)'!I39)</f>
        <v>56.9</v>
      </c>
      <c r="CG9" s="25"/>
      <c r="CH9" s="25"/>
      <c r="CI9" s="25"/>
      <c r="CJ9" s="25"/>
      <c r="CK9" s="25"/>
      <c r="CL9" s="25" t="s">
        <v>103</v>
      </c>
      <c r="CM9" s="25">
        <f>CN9/CN20*100</f>
        <v>1.9006782052002327</v>
      </c>
      <c r="CN9" s="25">
        <f t="shared" si="8"/>
        <v>1337</v>
      </c>
      <c r="CO9" s="25"/>
      <c r="CP9" s="25"/>
      <c r="CQ9" s="25"/>
      <c r="CR9" s="25"/>
      <c r="CS9" s="25"/>
      <c r="CT9" s="25"/>
      <c r="CU9" s="25"/>
      <c r="CV9" s="25">
        <v>1337</v>
      </c>
      <c r="CW9" s="25"/>
      <c r="CX9" s="25" t="s">
        <v>103</v>
      </c>
      <c r="CY9" s="25">
        <f>CZ9/CZ20*100</f>
        <v>2.1486369813117201</v>
      </c>
      <c r="CZ9" s="25">
        <f t="shared" si="9"/>
        <v>1542.5</v>
      </c>
      <c r="DA9" s="25"/>
      <c r="DC9" s="25"/>
      <c r="DD9" s="25"/>
      <c r="DE9" s="25"/>
      <c r="DF9" s="25"/>
      <c r="DG9" s="25"/>
      <c r="DH9" s="25">
        <v>1542.5</v>
      </c>
      <c r="DI9" s="25"/>
      <c r="DJ9" s="25" t="s">
        <v>103</v>
      </c>
      <c r="DK9" s="25">
        <f>DL9/DL19*100</f>
        <v>2.4134871835328879</v>
      </c>
      <c r="DL9" s="25">
        <f t="shared" si="10"/>
        <v>1762.5</v>
      </c>
      <c r="DM9" s="25"/>
      <c r="DN9" s="25"/>
      <c r="DO9" s="25"/>
      <c r="DP9" s="25"/>
      <c r="DQ9" s="25"/>
      <c r="DR9" s="25"/>
      <c r="DS9" s="25"/>
      <c r="DT9" s="251">
        <v>1762.5</v>
      </c>
      <c r="DU9" s="25"/>
      <c r="DV9" s="25"/>
      <c r="DW9" s="25" t="s">
        <v>103</v>
      </c>
      <c r="DX9" s="57">
        <f>DY9/DY19*100</f>
        <v>2.5732474657407374</v>
      </c>
      <c r="DY9" s="57">
        <f t="shared" si="11"/>
        <v>1896.5</v>
      </c>
      <c r="DZ9" s="25"/>
      <c r="EA9" s="25"/>
      <c r="EB9" s="25"/>
      <c r="EC9" s="25"/>
      <c r="ED9" s="25"/>
      <c r="EE9" s="25"/>
      <c r="EF9" s="25"/>
      <c r="EG9" s="251">
        <v>1896.5</v>
      </c>
      <c r="EH9" s="25"/>
      <c r="EI9" s="623"/>
      <c r="EJ9" s="623"/>
      <c r="EK9" s="623"/>
      <c r="EL9" s="25"/>
      <c r="EM9" s="25"/>
      <c r="EN9" s="25"/>
    </row>
    <row r="10" spans="1:144" ht="15.75" customHeight="1" x14ac:dyDescent="0.25">
      <c r="A10" s="25" t="s">
        <v>17</v>
      </c>
      <c r="B10" s="25">
        <f>C10/C33*100</f>
        <v>1.6970245211810324</v>
      </c>
      <c r="C10" s="25">
        <f t="shared" si="0"/>
        <v>329.8</v>
      </c>
      <c r="D10" s="25"/>
      <c r="E10" s="40">
        <f>('Wireless (RV)'!B3)</f>
        <v>109.7</v>
      </c>
      <c r="F10" s="25">
        <f>('CableSatIPTV (RV)'!B22)</f>
        <v>181.4</v>
      </c>
      <c r="G10" s="362">
        <f>('Total TV Universe (RV)'!B26)</f>
        <v>15.7</v>
      </c>
      <c r="H10" s="25"/>
      <c r="I10" s="25">
        <f>('Radio (RV)'!B13)</f>
        <v>23</v>
      </c>
      <c r="J10" s="25"/>
      <c r="K10" s="63" t="s">
        <v>642</v>
      </c>
      <c r="L10" s="25">
        <f>M10/M35*100</f>
        <v>1.6842858448698823</v>
      </c>
      <c r="M10" s="25">
        <f t="shared" si="13"/>
        <v>385.1</v>
      </c>
      <c r="N10" s="24">
        <v>385.1</v>
      </c>
      <c r="O10" s="25"/>
      <c r="P10" s="25"/>
      <c r="Q10" s="25"/>
      <c r="R10" s="25"/>
      <c r="S10" s="25"/>
      <c r="T10" s="25"/>
      <c r="U10" s="25" t="s">
        <v>629</v>
      </c>
      <c r="V10" s="25">
        <f>W10/W34*100</f>
        <v>2.2917299956047534</v>
      </c>
      <c r="W10" s="25">
        <f t="shared" si="2"/>
        <v>573.5</v>
      </c>
      <c r="X10" s="160">
        <f>('Wireline (RV) '!D17)</f>
        <v>573.5</v>
      </c>
      <c r="Y10" s="25"/>
      <c r="Z10" s="25"/>
      <c r="AA10" s="25"/>
      <c r="AB10" s="25"/>
      <c r="AC10" s="25"/>
      <c r="AD10" s="25"/>
      <c r="AE10" s="25" t="s">
        <v>16</v>
      </c>
      <c r="AF10" s="25">
        <f>AG10/AG30*100</f>
        <v>1.9318183606134367</v>
      </c>
      <c r="AG10" s="25">
        <f t="shared" si="3"/>
        <v>613.90000000000009</v>
      </c>
      <c r="AH10" s="362">
        <f>('Wireline (RV) '!E14)</f>
        <v>6.3</v>
      </c>
      <c r="AI10" s="25"/>
      <c r="AJ10" s="25"/>
      <c r="AK10" s="25">
        <f>('CableSatIPTV (RV)'!E3)</f>
        <v>534.40000000000009</v>
      </c>
      <c r="AL10" s="25">
        <f>('Total TV Universe (RV)'!F17)</f>
        <v>24.6</v>
      </c>
      <c r="AM10" s="25"/>
      <c r="AN10" s="25">
        <f>('Radio (RV)'!E16)</f>
        <v>48.6</v>
      </c>
      <c r="AO10" s="25"/>
      <c r="AP10" s="25" t="s">
        <v>462</v>
      </c>
      <c r="AQ10" s="25">
        <f>AR10/AR27*100</f>
        <v>1.9043650504492977</v>
      </c>
      <c r="AR10" s="25">
        <f t="shared" si="4"/>
        <v>843.1</v>
      </c>
      <c r="AS10" s="25"/>
      <c r="AT10" s="25"/>
      <c r="AU10" s="25"/>
      <c r="AV10" s="25"/>
      <c r="AW10" s="25"/>
      <c r="AX10" s="25">
        <f>('Newspaper (RV)'!F3)</f>
        <v>843.1</v>
      </c>
      <c r="AY10" s="25"/>
      <c r="AZ10" s="25"/>
      <c r="BA10" s="25"/>
      <c r="BB10" s="25" t="s">
        <v>462</v>
      </c>
      <c r="BC10" s="25">
        <f>BD10/BD30*100</f>
        <v>1.7768618662330333</v>
      </c>
      <c r="BD10" s="25">
        <f t="shared" si="5"/>
        <v>930.47047206032653</v>
      </c>
      <c r="BE10" s="25"/>
      <c r="BF10" s="25"/>
      <c r="BG10" s="25"/>
      <c r="BH10" s="25"/>
      <c r="BI10" s="25"/>
      <c r="BJ10" s="25">
        <f>('Newspaper (RV)'!G3)</f>
        <v>930.47047206032653</v>
      </c>
      <c r="BK10" s="25"/>
      <c r="BL10" s="25"/>
      <c r="BM10" s="25"/>
      <c r="BN10" s="25" t="s">
        <v>178</v>
      </c>
      <c r="BO10" s="25">
        <f>BP10/BP18*100</f>
        <v>2.7368260686649792</v>
      </c>
      <c r="BP10" s="25">
        <f t="shared" si="6"/>
        <v>1783.5</v>
      </c>
      <c r="BQ10" s="25"/>
      <c r="BR10" s="25"/>
      <c r="BS10" s="25"/>
      <c r="BT10" s="25"/>
      <c r="BU10" s="25">
        <f>('Total TV Universe (RV)'!J25)</f>
        <v>1386.9</v>
      </c>
      <c r="BV10" s="25">
        <f>('Radio (RV)'!H12)</f>
        <v>396.6</v>
      </c>
      <c r="BW10" s="25"/>
      <c r="BX10" s="25"/>
      <c r="BY10" s="25"/>
      <c r="BZ10" s="25" t="s">
        <v>537</v>
      </c>
      <c r="CA10" s="25">
        <f>CB10/CB17*100</f>
        <v>1.5492954532925691</v>
      </c>
      <c r="CB10" s="25">
        <f t="shared" si="7"/>
        <v>1052.5</v>
      </c>
      <c r="CC10" s="25"/>
      <c r="CD10" s="25"/>
      <c r="CE10" s="25"/>
      <c r="CF10" s="25"/>
      <c r="CG10" s="25"/>
      <c r="CH10" s="25"/>
      <c r="CI10" s="11">
        <f>('Newspaper (RV)'!I7)</f>
        <v>1052.5</v>
      </c>
      <c r="CJ10" s="25"/>
      <c r="CK10" s="25"/>
      <c r="CL10" s="25" t="s">
        <v>577</v>
      </c>
      <c r="CM10" s="25">
        <f>CN10/CN20*100</f>
        <v>1.7641342182784303</v>
      </c>
      <c r="CN10" s="25">
        <f t="shared" si="8"/>
        <v>1240.9504372623574</v>
      </c>
      <c r="CO10" s="25">
        <f>('Wireline (RV) '!J18)</f>
        <v>190.05043726235741</v>
      </c>
      <c r="CP10" s="25"/>
      <c r="CQ10" s="25">
        <v>307.8</v>
      </c>
      <c r="CR10" s="25">
        <f>('CableSatIPTV (RV)'!J33)</f>
        <v>639.70000000000005</v>
      </c>
      <c r="CS10" s="25">
        <f>('Total TV Universe (RV)'!L40)</f>
        <v>19.3</v>
      </c>
      <c r="CT10" s="25">
        <f>('Radio (RV)'!J21)</f>
        <v>84.1</v>
      </c>
      <c r="CU10" s="25"/>
      <c r="CV10" s="25"/>
      <c r="CW10" s="25"/>
      <c r="CX10" s="25" t="s">
        <v>577</v>
      </c>
      <c r="CY10" s="25">
        <f>CZ10/CZ20*100</f>
        <v>1.8443539354794944</v>
      </c>
      <c r="CZ10" s="25">
        <f t="shared" si="9"/>
        <v>1324.0561203318437</v>
      </c>
      <c r="DA10" s="25">
        <f>('Wireline (RV) '!K18)</f>
        <v>209.40211173184355</v>
      </c>
      <c r="DB10" s="25"/>
      <c r="DC10" s="25">
        <f>('ISPs (RV)'!H17)</f>
        <v>345.15400859999994</v>
      </c>
      <c r="DD10" s="25">
        <f>('CableSatIPTV (RV)'!K33)</f>
        <v>652.70000000000005</v>
      </c>
      <c r="DE10" s="25">
        <f>('Total TV Universe (RV)'!M40)</f>
        <v>21.4</v>
      </c>
      <c r="DF10" s="25">
        <f>('Radio (RV)'!K21)</f>
        <v>95.4</v>
      </c>
      <c r="DG10" s="25"/>
      <c r="DH10" s="25"/>
      <c r="DI10" s="25"/>
      <c r="DJ10" s="25" t="s">
        <v>577</v>
      </c>
      <c r="DK10" s="25">
        <f>DL10/DL19*100</f>
        <v>1.8323331632824724</v>
      </c>
      <c r="DL10" s="25">
        <f t="shared" si="10"/>
        <v>1338.1000000000001</v>
      </c>
      <c r="DM10" s="25">
        <f>('Wireline (RV) '!L18)</f>
        <v>219.20593200000008</v>
      </c>
      <c r="DN10" s="25"/>
      <c r="DO10" s="25">
        <f>('ISPs (RV)'!I17)</f>
        <v>372.99406800000003</v>
      </c>
      <c r="DP10" s="25">
        <f>('CableSatIPTV (RV)'!L33)</f>
        <v>631.5</v>
      </c>
      <c r="DQ10" s="11">
        <f>('Total TV Universe (RV)'!N40)</f>
        <v>19.7</v>
      </c>
      <c r="DR10" s="25">
        <f>('Radio (RV)'!L21)</f>
        <v>94.7</v>
      </c>
      <c r="DS10" s="25"/>
      <c r="DT10" s="25"/>
      <c r="DU10" s="25"/>
      <c r="DV10" s="25"/>
      <c r="DW10" s="25" t="s">
        <v>577</v>
      </c>
      <c r="DX10" s="57">
        <f>DY10/DY19*100</f>
        <v>1.7512736641347584</v>
      </c>
      <c r="DY10" s="57">
        <f t="shared" si="11"/>
        <v>1290.6999999999998</v>
      </c>
      <c r="DZ10" s="57">
        <f>('Wireline (RV) '!M18)</f>
        <v>180.1</v>
      </c>
      <c r="EA10" s="25"/>
      <c r="EB10" s="57">
        <f>('ISPs (RV)'!J17)</f>
        <v>395.4</v>
      </c>
      <c r="EC10" s="57">
        <f>('CableSatIPTV (RV)'!M33)</f>
        <v>600.5</v>
      </c>
      <c r="ED10" s="57">
        <f>('Total TV Universe (RV)'!O40)</f>
        <v>17.600000000000001</v>
      </c>
      <c r="EE10" s="57">
        <f>('Radio (RV)'!M21)</f>
        <v>97.1</v>
      </c>
      <c r="EF10" s="25"/>
      <c r="EG10" s="25"/>
      <c r="EH10" s="25"/>
      <c r="EI10" s="623"/>
      <c r="EJ10" s="623"/>
      <c r="EK10" s="623"/>
      <c r="EL10" s="25"/>
      <c r="EM10" s="25"/>
      <c r="EN10" s="25"/>
    </row>
    <row r="11" spans="1:144" ht="15.75" customHeight="1" x14ac:dyDescent="0.25">
      <c r="A11" s="63" t="s">
        <v>642</v>
      </c>
      <c r="B11" s="25">
        <f>C11/C33*100</f>
        <v>1.4520931469899554</v>
      </c>
      <c r="C11" s="25">
        <f t="shared" si="0"/>
        <v>282.2</v>
      </c>
      <c r="D11" s="24">
        <v>282.2</v>
      </c>
      <c r="E11" s="25"/>
      <c r="F11" s="25"/>
      <c r="G11" s="25"/>
      <c r="H11" s="25"/>
      <c r="I11" s="25"/>
      <c r="J11" s="25"/>
      <c r="K11" s="63" t="s">
        <v>415</v>
      </c>
      <c r="L11" s="25">
        <f>M11/M35*100</f>
        <v>3.3698837794657086</v>
      </c>
      <c r="M11" s="25">
        <f t="shared" si="13"/>
        <v>770.50000000000011</v>
      </c>
      <c r="N11" s="25"/>
      <c r="O11" s="25"/>
      <c r="P11" s="25">
        <v>83.5</v>
      </c>
      <c r="Q11" s="25">
        <v>48.1</v>
      </c>
      <c r="R11" s="25">
        <f>278.3+337.6</f>
        <v>615.90000000000009</v>
      </c>
      <c r="S11" s="25">
        <f>('Radio (RV)'!C14)</f>
        <v>23</v>
      </c>
      <c r="T11" s="25"/>
      <c r="U11" s="25" t="s">
        <v>28</v>
      </c>
      <c r="V11" s="25">
        <f>W11/W34*100</f>
        <v>2.0231959839140132</v>
      </c>
      <c r="W11" s="25">
        <f t="shared" si="2"/>
        <v>506.3</v>
      </c>
      <c r="X11" s="24">
        <f>('Wireline (RV) '!D13)</f>
        <v>506.3</v>
      </c>
      <c r="Y11" s="25"/>
      <c r="Z11" s="25"/>
      <c r="AA11" s="25"/>
      <c r="AB11" s="25"/>
      <c r="AC11" s="25"/>
      <c r="AD11" s="25"/>
      <c r="AE11" s="25" t="s">
        <v>28</v>
      </c>
      <c r="AF11" s="25">
        <f>AG11/AG30*100</f>
        <v>1.6678021357307726</v>
      </c>
      <c r="AG11" s="25">
        <f t="shared" si="3"/>
        <v>530</v>
      </c>
      <c r="AH11" s="24">
        <f>('Wireline (RV) '!E13)</f>
        <v>528.6</v>
      </c>
      <c r="AI11" s="25"/>
      <c r="AJ11" s="24">
        <v>1.4</v>
      </c>
      <c r="AK11" s="25"/>
      <c r="AL11" s="25"/>
      <c r="AM11" s="25"/>
      <c r="AN11" s="25"/>
      <c r="AO11" s="25"/>
      <c r="AP11" s="25" t="s">
        <v>664</v>
      </c>
      <c r="AQ11" s="25">
        <f>AR11/AR27*100</f>
        <v>1.7130476269253321</v>
      </c>
      <c r="AR11" s="25">
        <f t="shared" si="4"/>
        <v>758.4</v>
      </c>
      <c r="AS11" s="25">
        <f>('Wireline (RV) '!F25)</f>
        <v>758.4</v>
      </c>
      <c r="AT11" s="25"/>
      <c r="AU11" s="25"/>
      <c r="AV11" s="25"/>
      <c r="AW11" s="25"/>
      <c r="AX11" s="25"/>
      <c r="AY11" s="25"/>
      <c r="AZ11" s="25"/>
      <c r="BA11" s="25"/>
      <c r="BB11" s="25" t="s">
        <v>664</v>
      </c>
      <c r="BC11" s="25">
        <f>BD11/BD30*100</f>
        <v>1.5357309616290116</v>
      </c>
      <c r="BD11" s="25">
        <f t="shared" si="5"/>
        <v>804.2</v>
      </c>
      <c r="BE11" s="25">
        <v>804.2</v>
      </c>
      <c r="BF11" s="25"/>
      <c r="BG11" s="25"/>
      <c r="BH11" s="25"/>
      <c r="BI11" s="25"/>
      <c r="BJ11" s="25"/>
      <c r="BK11" s="25"/>
      <c r="BL11" s="25"/>
      <c r="BM11" s="25"/>
      <c r="BN11" s="25" t="s">
        <v>577</v>
      </c>
      <c r="BO11" s="25">
        <f>BP11/BP18*100</f>
        <v>1.2896277060878947</v>
      </c>
      <c r="BP11" s="25">
        <f t="shared" si="6"/>
        <v>840.40817943893774</v>
      </c>
      <c r="BQ11" s="25">
        <f>('Wireline (RV) '!H18)</f>
        <v>79.2</v>
      </c>
      <c r="BR11" s="25"/>
      <c r="BS11" s="25">
        <f>('ISPs (RV)'!E17)</f>
        <v>215.90817943893768</v>
      </c>
      <c r="BT11" s="25">
        <f>('CableSatIPTV (RV)'!H33)</f>
        <v>512.1</v>
      </c>
      <c r="BU11" s="362" t="str">
        <f>('Total TV Universe (RV)'!J40)</f>
        <v>Remstar</v>
      </c>
      <c r="BV11" s="25">
        <f>('Radio (RV)'!H21)</f>
        <v>33.200000000000003</v>
      </c>
      <c r="BW11" s="25"/>
      <c r="BX11" s="25"/>
      <c r="BY11" s="25"/>
      <c r="BZ11" s="25" t="s">
        <v>462</v>
      </c>
      <c r="CA11" s="25">
        <f>CB11/CB17*100</f>
        <v>1.4867736799364211</v>
      </c>
      <c r="CB11" s="25">
        <f t="shared" si="7"/>
        <v>1010.0263928403723</v>
      </c>
      <c r="CC11" s="25"/>
      <c r="CD11" s="25"/>
      <c r="CE11" s="25"/>
      <c r="CF11" s="25"/>
      <c r="CG11" s="25"/>
      <c r="CH11" s="25"/>
      <c r="CI11" s="25">
        <f>('Newspaper (RV)'!I3)</f>
        <v>1010.0263928403723</v>
      </c>
      <c r="CJ11" s="25"/>
      <c r="CK11" s="25"/>
      <c r="CL11" s="25" t="s">
        <v>462</v>
      </c>
      <c r="CM11" s="25">
        <f>CN11/CN20*100</f>
        <v>1.3911770318690706</v>
      </c>
      <c r="CN11" s="25">
        <f t="shared" si="8"/>
        <v>978.59999999999991</v>
      </c>
      <c r="CO11" s="25"/>
      <c r="CP11" s="25"/>
      <c r="CQ11" s="25"/>
      <c r="CR11" s="25"/>
      <c r="CS11" s="25"/>
      <c r="CT11" s="25"/>
      <c r="CU11" s="25">
        <f>('Newspaper (RV)'!J3)</f>
        <v>978.59999999999991</v>
      </c>
      <c r="CV11" s="25"/>
      <c r="CW11" s="25"/>
      <c r="CX11" s="25" t="s">
        <v>462</v>
      </c>
      <c r="CY11" s="25">
        <f>CZ11/CZ20*100</f>
        <v>1.2759490923056955</v>
      </c>
      <c r="CZ11" s="25">
        <f t="shared" si="9"/>
        <v>916</v>
      </c>
      <c r="DA11" s="25"/>
      <c r="DB11" s="25"/>
      <c r="DC11" s="25"/>
      <c r="DD11" s="25"/>
      <c r="DE11" s="25"/>
      <c r="DF11" s="25"/>
      <c r="DG11" s="25">
        <f>('Newspaper (RV)'!K3)</f>
        <v>916</v>
      </c>
      <c r="DH11" s="25"/>
      <c r="DI11" s="25"/>
      <c r="DJ11" s="25" t="s">
        <v>462</v>
      </c>
      <c r="DK11" s="25">
        <f>DL11/DL19*100</f>
        <v>1.2741438632473159</v>
      </c>
      <c r="DL11" s="25">
        <f t="shared" si="10"/>
        <v>930.47047206032653</v>
      </c>
      <c r="DM11" s="25"/>
      <c r="DN11" s="25"/>
      <c r="DO11" s="25"/>
      <c r="DP11" s="25"/>
      <c r="DQ11" s="25"/>
      <c r="DR11" s="25"/>
      <c r="DS11" s="25">
        <f>('Newspaper (RV)'!L3)</f>
        <v>930.47047206032653</v>
      </c>
      <c r="DT11" s="25"/>
      <c r="DU11" s="25"/>
      <c r="DV11" s="25"/>
      <c r="DW11" s="25" t="s">
        <v>462</v>
      </c>
      <c r="DX11" s="57">
        <f>DY11/DY19*100</f>
        <v>1.1643045875835101</v>
      </c>
      <c r="DY11" s="57">
        <f t="shared" si="11"/>
        <v>858.1</v>
      </c>
      <c r="DZ11" s="25"/>
      <c r="EA11" s="25"/>
      <c r="EB11" s="25"/>
      <c r="EC11" s="25"/>
      <c r="ED11" s="25"/>
      <c r="EE11" s="25"/>
      <c r="EF11" s="57">
        <f>('Newspaper (RV)'!M3)</f>
        <v>858.1</v>
      </c>
      <c r="EG11" s="25"/>
      <c r="EH11" s="25"/>
      <c r="EI11" s="623"/>
      <c r="EJ11" s="623"/>
      <c r="EK11" s="623"/>
      <c r="EL11" s="25"/>
      <c r="EM11" s="25"/>
      <c r="EN11" s="25"/>
    </row>
    <row r="12" spans="1:144" ht="15.75" customHeight="1" x14ac:dyDescent="0.25">
      <c r="A12" s="25" t="s">
        <v>28</v>
      </c>
      <c r="B12" s="25">
        <f>C12/C33*100</f>
        <v>1.402695222783352</v>
      </c>
      <c r="C12" s="25">
        <f t="shared" si="0"/>
        <v>272.60000000000002</v>
      </c>
      <c r="D12" s="24">
        <f>('Wireline (RV) '!B13)</f>
        <v>272.60000000000002</v>
      </c>
      <c r="E12" s="25"/>
      <c r="F12" s="25"/>
      <c r="G12" s="25"/>
      <c r="H12" s="25"/>
      <c r="I12" s="25"/>
      <c r="J12" s="25"/>
      <c r="K12" s="63" t="s">
        <v>150</v>
      </c>
      <c r="L12" s="25">
        <f>M12/M35*100</f>
        <v>1.5128394540132231</v>
      </c>
      <c r="M12" s="25">
        <f t="shared" si="13"/>
        <v>345.9</v>
      </c>
      <c r="N12" s="25"/>
      <c r="O12" s="25"/>
      <c r="P12" s="25">
        <v>245</v>
      </c>
      <c r="Q12" s="25">
        <v>100.9</v>
      </c>
      <c r="R12" s="25"/>
      <c r="S12" s="25"/>
      <c r="T12" s="25"/>
      <c r="U12" s="63" t="s">
        <v>150</v>
      </c>
      <c r="V12" s="25">
        <f>W12/W34*100</f>
        <v>1.8353820174041209</v>
      </c>
      <c r="W12" s="25">
        <f t="shared" si="2"/>
        <v>459.3</v>
      </c>
      <c r="X12" s="25"/>
      <c r="Y12" s="25"/>
      <c r="Z12" s="25">
        <v>292.3</v>
      </c>
      <c r="AA12" s="25">
        <v>167</v>
      </c>
      <c r="AB12" s="25"/>
      <c r="AC12" s="25"/>
      <c r="AD12" s="25"/>
      <c r="AE12" s="25" t="s">
        <v>462</v>
      </c>
      <c r="AF12" s="25">
        <f>AG12/AG30*100</f>
        <v>1.6010900503015415</v>
      </c>
      <c r="AG12" s="25">
        <f t="shared" si="3"/>
        <v>508.8</v>
      </c>
      <c r="AH12" s="25"/>
      <c r="AI12" s="25"/>
      <c r="AJ12" s="25"/>
      <c r="AK12" s="25"/>
      <c r="AL12" s="25"/>
      <c r="AM12" s="25">
        <f>('Newspaper (RV)'!E3)</f>
        <v>508.8</v>
      </c>
      <c r="AN12" s="25"/>
      <c r="AO12" s="25"/>
      <c r="AP12" s="63" t="s">
        <v>150</v>
      </c>
      <c r="AQ12" s="25">
        <f>AR12/AR27*100</f>
        <v>1.6233746432901319</v>
      </c>
      <c r="AR12" s="25">
        <f t="shared" si="4"/>
        <v>718.7</v>
      </c>
      <c r="AS12" s="25"/>
      <c r="AT12" s="25"/>
      <c r="AU12" s="25">
        <f>('ISPs (RV)'!C14)</f>
        <v>59.7</v>
      </c>
      <c r="AV12" s="25">
        <v>659</v>
      </c>
      <c r="AW12" s="25"/>
      <c r="AX12" s="25"/>
      <c r="AY12" s="25"/>
      <c r="AZ12" s="25"/>
      <c r="BA12" s="25"/>
      <c r="BB12" s="25" t="s">
        <v>20</v>
      </c>
      <c r="BC12" s="25">
        <f>BD12/BD30*100</f>
        <v>1.4534188754012527</v>
      </c>
      <c r="BD12" s="25">
        <f t="shared" si="5"/>
        <v>761.09649984386101</v>
      </c>
      <c r="BE12" s="25"/>
      <c r="BF12" s="25"/>
      <c r="BG12" s="25">
        <v>101.5</v>
      </c>
      <c r="BH12" s="25">
        <f>('CableSatIPTV (RV)'!G33)</f>
        <v>546.59649984386101</v>
      </c>
      <c r="BI12" s="25">
        <f>('Total TV Universe (RV)'!I40)</f>
        <v>113</v>
      </c>
      <c r="BJ12" s="25"/>
      <c r="BK12" s="25"/>
      <c r="BL12" s="25"/>
      <c r="BM12" s="25"/>
      <c r="BN12" s="25" t="s">
        <v>19</v>
      </c>
      <c r="BO12" s="25">
        <f>BP12/BP18*100</f>
        <v>1.5072108576634384</v>
      </c>
      <c r="BP12" s="25">
        <f t="shared" si="6"/>
        <v>982.19999999999993</v>
      </c>
      <c r="BQ12" s="25">
        <f>('Wireline (RV) '!H17)</f>
        <v>476.88530349247685</v>
      </c>
      <c r="BR12" s="25">
        <f>('Wireless (RV)'!H10)</f>
        <v>375.8</v>
      </c>
      <c r="BS12" s="25">
        <f>('ISPs (RV)'!E19)</f>
        <v>89.814696507523038</v>
      </c>
      <c r="BT12" s="25">
        <f>('CableSatIPTV (RV)'!H38)</f>
        <v>39.700000000000003</v>
      </c>
      <c r="BU12" s="25"/>
      <c r="BV12" s="25"/>
      <c r="BW12" s="25"/>
      <c r="BX12" s="25"/>
      <c r="BY12" s="25"/>
      <c r="BZ12" s="25" t="s">
        <v>20</v>
      </c>
      <c r="CA12" s="25">
        <f>CB12/CB17*100</f>
        <v>1.6448334358417767</v>
      </c>
      <c r="CB12" s="25">
        <f t="shared" si="7"/>
        <v>1117.4028733798602</v>
      </c>
      <c r="CC12" s="362">
        <f>('Wireline (RV) '!I18)</f>
        <v>180.40287337986044</v>
      </c>
      <c r="CD12" s="25"/>
      <c r="CE12" s="25">
        <v>281.7</v>
      </c>
      <c r="CF12" s="362">
        <f>('CableSatIPTV (RV)'!I33)</f>
        <v>613.5</v>
      </c>
      <c r="CG12" s="362"/>
      <c r="CH12" s="25">
        <f>('Radio (RV)'!I21)</f>
        <v>41.8</v>
      </c>
      <c r="CI12" s="25"/>
      <c r="CJ12" s="25"/>
      <c r="CK12" s="25"/>
      <c r="CL12" s="63" t="s">
        <v>598</v>
      </c>
      <c r="CM12" s="25">
        <f>CN12/CN20*100</f>
        <v>1.4487518017348968</v>
      </c>
      <c r="CN12" s="25">
        <f t="shared" si="8"/>
        <v>1019.1</v>
      </c>
      <c r="CO12" s="25"/>
      <c r="CP12" s="25"/>
      <c r="CQ12" s="25"/>
      <c r="CR12" s="25"/>
      <c r="CS12" s="25"/>
      <c r="CT12" s="25"/>
      <c r="CU12" s="25">
        <f>('Newspaper (RV)'!J7)</f>
        <v>1019.1</v>
      </c>
      <c r="CV12" s="25"/>
      <c r="CW12" s="25"/>
      <c r="CX12" s="25" t="s">
        <v>19</v>
      </c>
      <c r="CY12" s="25">
        <f>CZ12/CZ20*100</f>
        <v>1.4561977959567405</v>
      </c>
      <c r="CZ12" s="25">
        <f t="shared" si="9"/>
        <v>1045.4000000000001</v>
      </c>
      <c r="DA12" s="25">
        <f>('Wireline (RV) '!K17)</f>
        <v>384.87820169940045</v>
      </c>
      <c r="DB12" s="25">
        <f>('Wireless (RV)'!K10)</f>
        <v>454.2</v>
      </c>
      <c r="DC12" s="25">
        <f>('ISPs (RV)'!H19)</f>
        <v>135.98371503785762</v>
      </c>
      <c r="DD12" s="25">
        <f>('CableSatIPTV (RV)'!K38)</f>
        <v>70.338083262742046</v>
      </c>
      <c r="DE12" s="25"/>
      <c r="DF12" s="25"/>
      <c r="DG12" s="25"/>
      <c r="DH12" s="25"/>
      <c r="DI12" s="25"/>
      <c r="DJ12" s="25" t="s">
        <v>19</v>
      </c>
      <c r="DK12" s="25">
        <f>DL12/DL19*100</f>
        <v>1.4612381126513161</v>
      </c>
      <c r="DL12" s="25">
        <f t="shared" si="10"/>
        <v>1067.0999999999999</v>
      </c>
      <c r="DM12" s="25">
        <f>('Wireline (RV) '!L17)</f>
        <v>385.23413066902845</v>
      </c>
      <c r="DN12" s="25">
        <f>('Wireless (RV)'!L10)</f>
        <v>471.8</v>
      </c>
      <c r="DO12" s="25">
        <f>('ISPs (RV)'!I19)</f>
        <v>139.95988234800956</v>
      </c>
      <c r="DP12" s="25">
        <f>('CableSatIPTV (RV)'!L38)</f>
        <v>70.10598698296188</v>
      </c>
      <c r="DQ12" s="25"/>
      <c r="DR12" s="25"/>
      <c r="DS12" s="25"/>
      <c r="DT12" s="25"/>
      <c r="DU12" s="25"/>
      <c r="DV12" s="25"/>
      <c r="DW12" s="25" t="s">
        <v>19</v>
      </c>
      <c r="DX12" s="57">
        <f>DY12/DY19*100</f>
        <v>1.4701344085938997</v>
      </c>
      <c r="DY12" s="57">
        <f t="shared" si="11"/>
        <v>1083.4985531</v>
      </c>
      <c r="DZ12" s="57">
        <f>('Wireline (RV) '!M17)</f>
        <v>379.7</v>
      </c>
      <c r="EA12" s="57">
        <f>('Wireless (RV)'!M10)</f>
        <v>482.5</v>
      </c>
      <c r="EB12" s="57">
        <f>('ISPs (RV)'!J19)</f>
        <v>141.35281599999999</v>
      </c>
      <c r="EC12" s="57">
        <f>('CableSatIPTV (RV)'!M38)</f>
        <v>79.945737100000002</v>
      </c>
      <c r="ED12" s="25"/>
      <c r="EE12" s="25"/>
      <c r="EF12" s="25"/>
      <c r="EG12" s="25"/>
      <c r="EH12" s="25"/>
      <c r="EI12" s="623"/>
      <c r="EJ12" s="623"/>
      <c r="EK12" s="623"/>
      <c r="EL12" s="25"/>
      <c r="EM12" s="25"/>
      <c r="EN12" s="25"/>
    </row>
    <row r="13" spans="1:144" ht="15.75" customHeight="1" x14ac:dyDescent="0.25">
      <c r="A13" s="63" t="s">
        <v>673</v>
      </c>
      <c r="B13" s="25">
        <f>C13/C33*100</f>
        <v>1.1814336872746058</v>
      </c>
      <c r="C13" s="25">
        <f t="shared" si="0"/>
        <v>229.6</v>
      </c>
      <c r="D13" s="24">
        <v>229.6</v>
      </c>
      <c r="E13" s="25"/>
      <c r="F13" s="25"/>
      <c r="G13" s="25"/>
      <c r="H13" s="25"/>
      <c r="I13" s="25"/>
      <c r="J13" s="25"/>
      <c r="K13" s="25" t="s">
        <v>17</v>
      </c>
      <c r="L13" s="25">
        <f>M13/M35*100</f>
        <v>2.2349261665243048</v>
      </c>
      <c r="M13" s="25">
        <f t="shared" si="13"/>
        <v>511</v>
      </c>
      <c r="N13" s="25"/>
      <c r="O13" s="40">
        <f>('Wireless (RV)'!C3)</f>
        <v>146.19999999999999</v>
      </c>
      <c r="P13" s="25">
        <f>('CableSatIPTV (RV)'!C22)</f>
        <v>277.8</v>
      </c>
      <c r="Q13" s="25">
        <f>('Total TV Universe (RV)'!C26)</f>
        <v>61.8</v>
      </c>
      <c r="R13" s="25"/>
      <c r="S13" s="25">
        <f>('Radio (RV)'!C13)</f>
        <v>25.2</v>
      </c>
      <c r="T13" s="25"/>
      <c r="U13" s="474" t="s">
        <v>415</v>
      </c>
      <c r="V13" s="25">
        <f>W13/W34*100</f>
        <v>3.5476859461166521</v>
      </c>
      <c r="W13" s="25">
        <f t="shared" si="2"/>
        <v>887.8</v>
      </c>
      <c r="X13" s="25"/>
      <c r="Y13" s="25"/>
      <c r="Z13" s="25">
        <v>176</v>
      </c>
      <c r="AA13" s="25">
        <v>67</v>
      </c>
      <c r="AB13" s="25">
        <f>244.2+365.2</f>
        <v>609.4</v>
      </c>
      <c r="AC13" s="25">
        <v>35.4</v>
      </c>
      <c r="AD13" s="25"/>
      <c r="AE13" s="25" t="s">
        <v>673</v>
      </c>
      <c r="AF13" s="25">
        <f>AG13/AG30*100</f>
        <v>1.4173171357229057</v>
      </c>
      <c r="AG13" s="25">
        <f t="shared" si="3"/>
        <v>450.40000000000003</v>
      </c>
      <c r="AH13" s="24">
        <v>446.8</v>
      </c>
      <c r="AI13" s="25"/>
      <c r="AJ13" s="24">
        <v>3.6</v>
      </c>
      <c r="AK13" s="25"/>
      <c r="AL13" s="25"/>
      <c r="AM13" s="25"/>
      <c r="AN13" s="25"/>
      <c r="AO13" s="25"/>
      <c r="AP13" s="25" t="s">
        <v>28</v>
      </c>
      <c r="AQ13" s="25">
        <f>AR13/AR27*100</f>
        <v>2.1395025213919761</v>
      </c>
      <c r="AR13" s="25">
        <f t="shared" si="4"/>
        <v>947.2</v>
      </c>
      <c r="AS13" s="24">
        <f>('Wireline (RV) '!F13)</f>
        <v>818.30000000000007</v>
      </c>
      <c r="AT13" s="594">
        <f>('Wireless (RV)'!F11)</f>
        <v>108.1</v>
      </c>
      <c r="AU13" s="24">
        <f>('ISPs (RV)'!C20)</f>
        <v>20.8</v>
      </c>
      <c r="AV13" s="25"/>
      <c r="AW13" s="25"/>
      <c r="AX13" s="25"/>
      <c r="AY13" s="25"/>
      <c r="AZ13" s="25"/>
      <c r="BA13" s="25"/>
      <c r="BB13" s="25" t="s">
        <v>629</v>
      </c>
      <c r="BC13" s="25">
        <f>BD13/BD30*100</f>
        <v>1.6235416063446755</v>
      </c>
      <c r="BD13" s="25">
        <f t="shared" si="5"/>
        <v>850.18287215973703</v>
      </c>
      <c r="BE13" s="24">
        <f>('Wireline (RV) '!G17)</f>
        <v>601.13987215973691</v>
      </c>
      <c r="BF13" s="25">
        <f>('Wireless (RV)'!G10)</f>
        <v>193.8</v>
      </c>
      <c r="BG13" s="24">
        <v>51.1</v>
      </c>
      <c r="BH13" s="362">
        <f>('CableSatIPTV (RV)'!G38)</f>
        <v>4.1429999999999998</v>
      </c>
      <c r="BI13" s="24"/>
      <c r="BJ13" s="25"/>
      <c r="BK13" s="25"/>
      <c r="BL13" s="25"/>
      <c r="BM13" s="25"/>
      <c r="BN13" s="25" t="s">
        <v>103</v>
      </c>
      <c r="BO13" s="25">
        <f>BP13/BP18*100</f>
        <v>1.2276203279685916</v>
      </c>
      <c r="BP13" s="25">
        <f t="shared" si="6"/>
        <v>800</v>
      </c>
      <c r="BQ13" s="25"/>
      <c r="BR13" s="25"/>
      <c r="BS13" s="25"/>
      <c r="BT13" s="25"/>
      <c r="BU13" s="25"/>
      <c r="BV13" s="25"/>
      <c r="BW13" s="25"/>
      <c r="BX13" s="25">
        <v>800</v>
      </c>
      <c r="BY13" s="25"/>
      <c r="BZ13" s="25" t="s">
        <v>19</v>
      </c>
      <c r="CA13" s="25">
        <f>CB13/CB17*100</f>
        <v>1.4561691631100648</v>
      </c>
      <c r="CB13" s="25">
        <f t="shared" si="7"/>
        <v>989.23548824481293</v>
      </c>
      <c r="CC13" s="24">
        <f>('Wireline (RV) '!I17)</f>
        <v>418.46933831501195</v>
      </c>
      <c r="CD13" s="40">
        <f>('Wireless (RV)'!I10)</f>
        <v>408.5</v>
      </c>
      <c r="CE13" s="25">
        <v>115.5</v>
      </c>
      <c r="CF13" s="25">
        <f>('CableSatIPTV (RV)'!I38)</f>
        <v>46.766149929800946</v>
      </c>
      <c r="CG13" s="25"/>
      <c r="CH13" s="25"/>
      <c r="CI13" s="25"/>
      <c r="CJ13" s="25"/>
      <c r="CK13" s="25"/>
      <c r="CL13" s="25" t="s">
        <v>19</v>
      </c>
      <c r="CM13" s="25">
        <f>CN13/CN20*100</f>
        <v>1.3689976650303119</v>
      </c>
      <c r="CN13" s="25">
        <f t="shared" si="8"/>
        <v>962.99829878498736</v>
      </c>
      <c r="CO13" s="25">
        <f>('Wireline (RV) '!J17)</f>
        <v>364.86049104854499</v>
      </c>
      <c r="CP13" s="25">
        <f>('Wireless (RV)'!J10)</f>
        <v>414.4</v>
      </c>
      <c r="CQ13" s="25">
        <v>124.7</v>
      </c>
      <c r="CR13" s="25">
        <f>('CableSatIPTV (RV)'!J38)</f>
        <v>59.037807736442389</v>
      </c>
      <c r="CS13" s="25"/>
      <c r="CT13" s="25"/>
      <c r="CU13" s="25"/>
      <c r="CV13" s="25"/>
      <c r="CW13" s="25"/>
      <c r="CX13" s="25" t="s">
        <v>598</v>
      </c>
      <c r="CY13" s="25">
        <f>CZ13/CZ20*100</f>
        <v>1.1588013645077599</v>
      </c>
      <c r="CZ13" s="25">
        <f t="shared" si="9"/>
        <v>831.9</v>
      </c>
      <c r="DA13" s="25"/>
      <c r="DB13" s="25"/>
      <c r="DC13" s="25"/>
      <c r="DD13" s="25"/>
      <c r="DE13" s="25"/>
      <c r="DF13" s="25"/>
      <c r="DG13" s="25">
        <f>('Newspaper (RV)'!K7)</f>
        <v>831.9</v>
      </c>
      <c r="DH13" s="25"/>
      <c r="DI13" s="25"/>
      <c r="DJ13" s="25" t="s">
        <v>598</v>
      </c>
      <c r="DK13" s="25">
        <f>DL13/DL19*100</f>
        <v>1.0292067898685495</v>
      </c>
      <c r="DL13" s="25">
        <f t="shared" si="10"/>
        <v>751.6</v>
      </c>
      <c r="DM13" s="25"/>
      <c r="DN13" s="25"/>
      <c r="DO13" s="25"/>
      <c r="DP13" s="25"/>
      <c r="DQ13" s="25"/>
      <c r="DR13" s="25"/>
      <c r="DS13" s="25">
        <f>('Newspaper (RV)'!L7)</f>
        <v>751.6</v>
      </c>
      <c r="DT13" s="25"/>
      <c r="DU13" s="25"/>
      <c r="DV13" s="25"/>
      <c r="DW13" s="25" t="s">
        <v>598</v>
      </c>
      <c r="DX13" s="57">
        <f>DY13/DY19*100</f>
        <v>0.91491735626099602</v>
      </c>
      <c r="DY13" s="57">
        <f t="shared" si="11"/>
        <v>674.3</v>
      </c>
      <c r="DZ13" s="25"/>
      <c r="EA13" s="25"/>
      <c r="EB13" s="25"/>
      <c r="EC13" s="25"/>
      <c r="ED13" s="25"/>
      <c r="EE13" s="25"/>
      <c r="EF13" s="57">
        <f>('Newspaper (RV)'!M7)</f>
        <v>674.3</v>
      </c>
      <c r="EG13" s="25"/>
      <c r="EH13" s="25"/>
      <c r="EI13" s="623"/>
      <c r="EJ13" s="623"/>
      <c r="EK13" s="623"/>
      <c r="EL13" s="25"/>
      <c r="EM13" s="25"/>
      <c r="EN13" s="25"/>
    </row>
    <row r="14" spans="1:144" ht="15.75" customHeight="1" x14ac:dyDescent="0.25">
      <c r="A14" s="25" t="s">
        <v>462</v>
      </c>
      <c r="B14" s="25">
        <f>C14/C33*100</f>
        <v>1.6232894530527147</v>
      </c>
      <c r="C14" s="25">
        <f t="shared" si="0"/>
        <v>315.47031579968257</v>
      </c>
      <c r="D14" s="25"/>
      <c r="E14" s="25"/>
      <c r="F14" s="25"/>
      <c r="G14" s="25"/>
      <c r="H14" s="25">
        <f>('Newspaper (RV)'!B3)</f>
        <v>315.47031579968257</v>
      </c>
      <c r="I14" s="25"/>
      <c r="J14" s="25"/>
      <c r="K14" s="25" t="s">
        <v>462</v>
      </c>
      <c r="L14" s="25">
        <f>M14/M35*100</f>
        <v>1.7679771999795739</v>
      </c>
      <c r="M14" s="25">
        <f t="shared" si="13"/>
        <v>404.23543413720972</v>
      </c>
      <c r="N14" s="25"/>
      <c r="O14" s="25"/>
      <c r="P14" s="25"/>
      <c r="Q14" s="25"/>
      <c r="R14" s="25">
        <f>('Newspaper (RV)'!C3)</f>
        <v>404.23543413720972</v>
      </c>
      <c r="S14" s="25"/>
      <c r="T14" s="25"/>
      <c r="U14" s="25" t="s">
        <v>673</v>
      </c>
      <c r="V14" s="25">
        <f>W14/W34*100</f>
        <v>1.3950182065660321</v>
      </c>
      <c r="W14" s="25">
        <f t="shared" si="2"/>
        <v>349.1</v>
      </c>
      <c r="X14" s="24">
        <v>349.1</v>
      </c>
      <c r="Y14" s="25"/>
      <c r="Z14" s="25"/>
      <c r="AA14" s="25"/>
      <c r="AB14" s="25"/>
      <c r="AC14" s="25"/>
      <c r="AD14" s="25"/>
      <c r="AE14" s="25" t="s">
        <v>385</v>
      </c>
      <c r="AF14" s="25">
        <f>AG14/AG30*100</f>
        <v>1.2618653894868677</v>
      </c>
      <c r="AG14" s="25">
        <f t="shared" si="3"/>
        <v>401</v>
      </c>
      <c r="AH14" s="25"/>
      <c r="AI14" s="25"/>
      <c r="AJ14" s="25"/>
      <c r="AK14" s="25"/>
      <c r="AL14" s="25"/>
      <c r="AM14" s="25">
        <v>401</v>
      </c>
      <c r="AN14" s="25"/>
      <c r="AO14" s="25"/>
      <c r="AP14" s="25" t="s">
        <v>386</v>
      </c>
      <c r="AQ14" s="25">
        <f>AR14/AR27*100</f>
        <v>1.3988533694025025</v>
      </c>
      <c r="AR14" s="25">
        <f t="shared" si="4"/>
        <v>619.29999999999995</v>
      </c>
      <c r="AS14" s="25"/>
      <c r="AT14" s="25"/>
      <c r="AU14" s="25"/>
      <c r="AV14" s="25"/>
      <c r="AW14" s="25">
        <v>619.29999999999995</v>
      </c>
      <c r="AX14" s="25"/>
      <c r="AY14" s="25"/>
      <c r="AZ14" s="25"/>
      <c r="BA14" s="25"/>
      <c r="BB14" s="25" t="s">
        <v>349</v>
      </c>
      <c r="BC14" s="25">
        <f>BD14/BD30*100</f>
        <v>1.0934587772056354</v>
      </c>
      <c r="BD14" s="25">
        <f t="shared" si="5"/>
        <v>572.6</v>
      </c>
      <c r="BE14" s="25"/>
      <c r="BF14" s="25"/>
      <c r="BG14" s="25"/>
      <c r="BH14" s="25"/>
      <c r="BI14" s="25">
        <v>449.8</v>
      </c>
      <c r="BJ14" s="25"/>
      <c r="BK14" s="25">
        <f>('Radio (RV)'!G11)</f>
        <v>122.8</v>
      </c>
      <c r="BL14" s="25"/>
      <c r="BM14" s="25"/>
      <c r="BN14" s="25" t="s">
        <v>269</v>
      </c>
      <c r="BO14" s="25">
        <f>BP14/BP18*100</f>
        <v>1.1999988705892983</v>
      </c>
      <c r="BP14" s="25">
        <f t="shared" si="6"/>
        <v>782</v>
      </c>
      <c r="BQ14" s="25"/>
      <c r="BR14" s="25"/>
      <c r="BS14" s="25"/>
      <c r="BT14" s="25"/>
      <c r="BU14" s="25">
        <f>('Total TV Universe (RV)'!J4)</f>
        <v>490.9</v>
      </c>
      <c r="BV14" s="25">
        <f>('Radio (RV)'!H4)</f>
        <v>291.10000000000002</v>
      </c>
      <c r="BW14" s="25"/>
      <c r="BX14" s="25"/>
      <c r="BY14" s="25"/>
      <c r="BZ14" s="25" t="s">
        <v>269</v>
      </c>
      <c r="CA14" s="25">
        <f>CB14/CB17*100</f>
        <v>1.2507708756890221</v>
      </c>
      <c r="CB14" s="25">
        <f t="shared" si="7"/>
        <v>849.69999999999993</v>
      </c>
      <c r="CC14" s="25"/>
      <c r="CD14" s="25"/>
      <c r="CE14" s="25"/>
      <c r="CF14" s="25"/>
      <c r="CG14" s="25">
        <f>('Total TV Universe (RV)'!K4)</f>
        <v>523.69999999999993</v>
      </c>
      <c r="CH14" s="25">
        <f>('Radio (RV)'!I4)</f>
        <v>326</v>
      </c>
      <c r="CI14" s="25"/>
      <c r="CJ14" s="25"/>
      <c r="CK14" s="25"/>
      <c r="CL14" s="25" t="s">
        <v>269</v>
      </c>
      <c r="CM14" s="25">
        <f>CN14/CN20*100</f>
        <v>1.2711940546672014</v>
      </c>
      <c r="CN14" s="25">
        <f t="shared" si="8"/>
        <v>894.2</v>
      </c>
      <c r="CO14" s="25"/>
      <c r="CP14" s="25"/>
      <c r="CQ14" s="25"/>
      <c r="CR14" s="25"/>
      <c r="CS14" s="25">
        <f>('Total TV Universe (RV)'!L4)</f>
        <v>553.9</v>
      </c>
      <c r="CT14" s="25">
        <f>('Radio (RV)'!J4)</f>
        <v>340.3</v>
      </c>
      <c r="CU14" s="25"/>
      <c r="CV14" s="25"/>
      <c r="CW14" s="25"/>
      <c r="CX14" s="25" t="s">
        <v>269</v>
      </c>
      <c r="CY14" s="25">
        <f>CZ14/CZ20*100</f>
        <v>1.2419609287115265</v>
      </c>
      <c r="CZ14" s="25">
        <f t="shared" si="9"/>
        <v>891.6</v>
      </c>
      <c r="DA14" s="25"/>
      <c r="DB14" s="25"/>
      <c r="DC14" s="25"/>
      <c r="DD14" s="25"/>
      <c r="DE14" s="25">
        <f>('Total TV Universe (RV)'!M4)</f>
        <v>561.6</v>
      </c>
      <c r="DF14" s="25">
        <f>('Radio (RV)'!K4)</f>
        <v>330</v>
      </c>
      <c r="DG14" s="253"/>
      <c r="DH14" s="253"/>
      <c r="DI14" s="25"/>
      <c r="DJ14" s="63" t="s">
        <v>606</v>
      </c>
      <c r="DK14" s="25">
        <f>DL14/DL19*100</f>
        <v>0.89035425062870011</v>
      </c>
      <c r="DL14" s="25">
        <f t="shared" si="10"/>
        <v>650.20000000000005</v>
      </c>
      <c r="DM14" s="25">
        <f>('Wireline (RV) '!L19)</f>
        <v>115.2</v>
      </c>
      <c r="DN14" s="25"/>
      <c r="DO14" s="25">
        <f>('ISPs (RV)'!I18)</f>
        <v>202.3</v>
      </c>
      <c r="DP14" s="25">
        <f>('CableSatIPTV (RV)'!L36)</f>
        <v>332.7</v>
      </c>
      <c r="DQ14" s="25"/>
      <c r="DR14" s="25"/>
      <c r="DS14" s="24"/>
      <c r="DT14" s="25"/>
      <c r="DU14" s="25"/>
      <c r="DV14" s="25"/>
      <c r="DW14" s="63" t="s">
        <v>606</v>
      </c>
      <c r="DX14" s="57">
        <f>DY14/DY19*100</f>
        <v>0.8850668715542751</v>
      </c>
      <c r="DY14" s="57">
        <f t="shared" si="11"/>
        <v>652.29999999999995</v>
      </c>
      <c r="DZ14" s="57">
        <f>('Wireline (RV) '!M19)</f>
        <v>118.3</v>
      </c>
      <c r="EA14" s="25"/>
      <c r="EB14" s="57">
        <f>('ISPs (RV)'!J18)</f>
        <v>207.6</v>
      </c>
      <c r="EC14" s="57">
        <f>('CableSatIPTV (RV)'!M36)</f>
        <v>326.39999999999998</v>
      </c>
      <c r="ED14" s="25"/>
      <c r="EE14" s="25"/>
      <c r="EF14" s="25"/>
      <c r="EG14" s="25"/>
      <c r="EH14" s="25"/>
      <c r="EI14" s="623"/>
      <c r="EJ14" s="623"/>
      <c r="EK14" s="623"/>
      <c r="EL14" s="25"/>
      <c r="EM14" s="25"/>
      <c r="EN14" s="25"/>
    </row>
    <row r="15" spans="1:144" ht="15.75" customHeight="1" x14ac:dyDescent="0.25">
      <c r="A15" s="25" t="s">
        <v>332</v>
      </c>
      <c r="B15" s="25">
        <f>C15/C33*100</f>
        <v>0.76000764638701779</v>
      </c>
      <c r="C15" s="25">
        <f t="shared" si="0"/>
        <v>147.69999999999999</v>
      </c>
      <c r="D15" s="25"/>
      <c r="E15" s="25"/>
      <c r="F15" s="25"/>
      <c r="G15" s="25">
        <v>147.69999999999999</v>
      </c>
      <c r="H15" s="25"/>
      <c r="I15" s="25"/>
      <c r="J15" s="25"/>
      <c r="K15" s="63" t="s">
        <v>673</v>
      </c>
      <c r="L15" s="25">
        <f>M15/M35*100</f>
        <v>1.2163071759499202</v>
      </c>
      <c r="M15" s="25">
        <f t="shared" si="13"/>
        <v>278.10000000000002</v>
      </c>
      <c r="N15" s="24">
        <v>278.10000000000002</v>
      </c>
      <c r="O15" s="25"/>
      <c r="P15" s="25"/>
      <c r="Q15" s="25"/>
      <c r="R15" s="25"/>
      <c r="S15" s="25"/>
      <c r="T15" s="25"/>
      <c r="U15" s="25" t="s">
        <v>462</v>
      </c>
      <c r="V15" s="25">
        <f>W15/W34*100</f>
        <v>1.6446824139108571</v>
      </c>
      <c r="W15" s="25">
        <f t="shared" si="2"/>
        <v>411.57787618387101</v>
      </c>
      <c r="X15" s="25"/>
      <c r="Y15" s="25"/>
      <c r="Z15" s="25"/>
      <c r="AA15" s="25"/>
      <c r="AB15" s="25">
        <f>('Newspaper (RV)'!D3)</f>
        <v>411.57787618387101</v>
      </c>
      <c r="AC15" s="25"/>
      <c r="AD15" s="25"/>
      <c r="AE15" s="25" t="s">
        <v>587</v>
      </c>
      <c r="AF15" s="25">
        <f>AG15/AG30*100</f>
        <v>1.1665174560667875</v>
      </c>
      <c r="AG15" s="25">
        <f t="shared" si="3"/>
        <v>370.7</v>
      </c>
      <c r="AH15" s="25"/>
      <c r="AI15" s="25"/>
      <c r="AJ15" s="25"/>
      <c r="AK15" s="25"/>
      <c r="AL15" s="25"/>
      <c r="AM15" s="25">
        <v>370.7</v>
      </c>
      <c r="AN15" s="25"/>
      <c r="AO15" s="25"/>
      <c r="AP15" s="25" t="s">
        <v>679</v>
      </c>
      <c r="AQ15" s="25">
        <f>AR15/AR27*100</f>
        <v>0.97239847493585885</v>
      </c>
      <c r="AR15" s="25">
        <f t="shared" si="4"/>
        <v>430.5</v>
      </c>
      <c r="AS15" s="25"/>
      <c r="AT15" s="362">
        <f>('Wireless (RV)'!F4)</f>
        <v>430.5</v>
      </c>
      <c r="AU15" s="25"/>
      <c r="AV15" s="25"/>
      <c r="AW15" s="25"/>
      <c r="AX15" s="25"/>
      <c r="AY15" s="25"/>
      <c r="AZ15" s="25"/>
      <c r="BA15" s="25"/>
      <c r="BB15" s="63" t="s">
        <v>471</v>
      </c>
      <c r="BC15" s="25">
        <f>BD15/BD30*100</f>
        <v>0.94202447571697512</v>
      </c>
      <c r="BD15" s="25">
        <f t="shared" si="5"/>
        <v>493.3</v>
      </c>
      <c r="BE15" s="25"/>
      <c r="BF15" s="25"/>
      <c r="BG15" s="25"/>
      <c r="BH15" s="25"/>
      <c r="BI15" s="25"/>
      <c r="BJ15" s="25">
        <f>('Newspaper (RV)'!G12)</f>
        <v>493.3</v>
      </c>
      <c r="BK15" s="25"/>
      <c r="BL15" s="25"/>
      <c r="BM15" s="25"/>
      <c r="BN15" s="63" t="s">
        <v>471</v>
      </c>
      <c r="BO15" s="25">
        <f>BP15/BP18*100</f>
        <v>0.90016196608797061</v>
      </c>
      <c r="BP15" s="25">
        <f t="shared" si="6"/>
        <v>586.60609999999997</v>
      </c>
      <c r="BQ15" s="25"/>
      <c r="BR15" s="25"/>
      <c r="BS15" s="25"/>
      <c r="BT15" s="25"/>
      <c r="BU15" s="25"/>
      <c r="BV15" s="25"/>
      <c r="BW15" s="25">
        <f>('Newspaper (RV)'!H12)</f>
        <v>586.60609999999997</v>
      </c>
      <c r="BX15" s="25"/>
      <c r="BY15" s="25"/>
      <c r="BZ15" s="25" t="s">
        <v>471</v>
      </c>
      <c r="CA15" s="25">
        <f>CB15/CB17*100</f>
        <v>0.7712894723497129</v>
      </c>
      <c r="CB15" s="25">
        <f t="shared" si="7"/>
        <v>523.96860000000004</v>
      </c>
      <c r="CC15" s="25"/>
      <c r="CD15" s="25"/>
      <c r="CE15" s="25"/>
      <c r="CF15" s="25"/>
      <c r="CG15" s="25"/>
      <c r="CH15" s="25"/>
      <c r="CI15" s="25">
        <f>('Newspaper (RV)'!I12)</f>
        <v>523.96860000000004</v>
      </c>
      <c r="CJ15" s="25"/>
      <c r="CK15" s="25"/>
      <c r="CL15" s="63" t="s">
        <v>606</v>
      </c>
      <c r="CM15" s="25">
        <f>CN15/CN20*100</f>
        <v>0.84460522131798388</v>
      </c>
      <c r="CN15" s="25">
        <f t="shared" si="8"/>
        <v>594.12328600000001</v>
      </c>
      <c r="CO15" s="25">
        <f>('Wireline (RV) '!J19)</f>
        <v>97.223286000000002</v>
      </c>
      <c r="CP15" s="25"/>
      <c r="CQ15" s="25">
        <v>170.5</v>
      </c>
      <c r="CR15" s="25">
        <f>('CableSatIPTV (RV)'!J36)</f>
        <v>326.39999999999998</v>
      </c>
      <c r="CS15" s="25"/>
      <c r="CT15" s="25"/>
      <c r="CU15" s="25"/>
      <c r="CV15" s="25"/>
      <c r="CW15" s="25"/>
      <c r="CX15" s="63" t="s">
        <v>606</v>
      </c>
      <c r="CY15" s="25">
        <f>CZ15/CZ20*100</f>
        <v>0.8811582714834657</v>
      </c>
      <c r="CZ15" s="25">
        <f t="shared" si="9"/>
        <v>632.58086200000002</v>
      </c>
      <c r="DA15" s="25">
        <f>('Wireline (RV) '!K19)</f>
        <v>109.280862</v>
      </c>
      <c r="DB15" s="25"/>
      <c r="DC15" s="25">
        <f>('ISPs (RV)'!H18)</f>
        <v>191.6</v>
      </c>
      <c r="DD15" s="25">
        <f>('CableSatIPTV (RV)'!K36)</f>
        <v>331.7</v>
      </c>
      <c r="DE15" s="25"/>
      <c r="DF15" s="25"/>
      <c r="DG15" s="24"/>
      <c r="DH15" s="25"/>
      <c r="DI15" s="25"/>
      <c r="DJ15" s="63" t="s">
        <v>471</v>
      </c>
      <c r="DK15" s="25">
        <f>DL15/DL19*100</f>
        <v>0.50474404303558729</v>
      </c>
      <c r="DL15" s="25">
        <f t="shared" si="10"/>
        <v>368.6</v>
      </c>
      <c r="DM15" s="25"/>
      <c r="DN15" s="25"/>
      <c r="DO15" s="25"/>
      <c r="DP15" s="25"/>
      <c r="DQ15" s="25"/>
      <c r="DR15" s="25"/>
      <c r="DS15" s="25">
        <f>('Newspaper (RV)'!L12)</f>
        <v>368.6</v>
      </c>
      <c r="DT15" s="25"/>
      <c r="DU15" s="25"/>
      <c r="DV15" s="25"/>
      <c r="DW15" s="63" t="s">
        <v>471</v>
      </c>
      <c r="DX15" s="57">
        <f>DY15/DY19*100</f>
        <v>0.47584386302941029</v>
      </c>
      <c r="DY15" s="57">
        <f t="shared" si="11"/>
        <v>350.7</v>
      </c>
      <c r="DZ15" s="25"/>
      <c r="EA15" s="25"/>
      <c r="EB15" s="25"/>
      <c r="EC15" s="25"/>
      <c r="ED15" s="25"/>
      <c r="EE15" s="25"/>
      <c r="EF15" s="57">
        <f>('Newspaper (RV)'!M12)</f>
        <v>350.7</v>
      </c>
      <c r="EG15" s="25"/>
      <c r="EH15" s="25"/>
      <c r="EI15" s="623"/>
      <c r="EJ15" s="623"/>
      <c r="EK15" s="623"/>
      <c r="EL15" s="25"/>
      <c r="EM15" s="25"/>
      <c r="EN15" s="25"/>
    </row>
    <row r="16" spans="1:144" ht="15.75" customHeight="1" x14ac:dyDescent="0.25">
      <c r="A16" s="25" t="s">
        <v>570</v>
      </c>
      <c r="B16" s="25">
        <f>C16/C33*100</f>
        <v>0.72347376494255045</v>
      </c>
      <c r="C16" s="25">
        <f t="shared" si="0"/>
        <v>140.6</v>
      </c>
      <c r="D16" s="25"/>
      <c r="E16" s="25"/>
      <c r="F16" s="25">
        <v>20.9</v>
      </c>
      <c r="G16" s="25">
        <v>95.5</v>
      </c>
      <c r="H16" s="25"/>
      <c r="I16" s="25">
        <v>24.2</v>
      </c>
      <c r="J16" s="25"/>
      <c r="K16" s="63" t="s">
        <v>680</v>
      </c>
      <c r="L16" s="25">
        <f>M16/M35*100</f>
        <v>0.84192424081395056</v>
      </c>
      <c r="M16" s="25">
        <f t="shared" si="13"/>
        <v>192.5</v>
      </c>
      <c r="N16" s="24">
        <v>192.5</v>
      </c>
      <c r="O16" s="25"/>
      <c r="P16" s="25"/>
      <c r="Q16" s="25"/>
      <c r="R16" s="25"/>
      <c r="S16" s="25"/>
      <c r="T16" s="25"/>
      <c r="U16" s="63" t="s">
        <v>680</v>
      </c>
      <c r="V16" s="25">
        <f>W16/W34*100</f>
        <v>1.0897206099414407</v>
      </c>
      <c r="W16" s="25">
        <f t="shared" si="2"/>
        <v>272.7</v>
      </c>
      <c r="X16" s="24">
        <v>272.7</v>
      </c>
      <c r="Y16" s="25"/>
      <c r="Z16" s="25"/>
      <c r="AA16" s="25"/>
      <c r="AB16" s="25"/>
      <c r="AC16" s="25"/>
      <c r="AD16" s="25"/>
      <c r="AE16" s="25" t="s">
        <v>408</v>
      </c>
      <c r="AF16" s="25">
        <f>AG16/AG30*100</f>
        <v>1.1636570180641852</v>
      </c>
      <c r="AG16" s="25">
        <f t="shared" si="3"/>
        <v>369.79100000000005</v>
      </c>
      <c r="AH16" s="25"/>
      <c r="AI16" s="25"/>
      <c r="AJ16" s="25"/>
      <c r="AK16" s="25"/>
      <c r="AL16" s="25"/>
      <c r="AM16" s="25">
        <f>('Newspaper (RV)'!E13)</f>
        <v>369.79100000000005</v>
      </c>
      <c r="AN16" s="25"/>
      <c r="AO16" s="25"/>
      <c r="AP16" s="25" t="s">
        <v>629</v>
      </c>
      <c r="AQ16" s="25">
        <f>AR16/AR27*100</f>
        <v>1.6204382483600122</v>
      </c>
      <c r="AR16" s="25">
        <f t="shared" si="4"/>
        <v>717.4</v>
      </c>
      <c r="AS16" s="24">
        <f>('Wireline (RV) '!F17)</f>
        <v>559.60716038066482</v>
      </c>
      <c r="AT16" s="362">
        <f>('Wireless (RV)'!F10)</f>
        <v>133</v>
      </c>
      <c r="AU16" s="24">
        <f>('ISPs (RV)'!C19)</f>
        <v>24.792839619335187</v>
      </c>
      <c r="AV16" s="25"/>
      <c r="AW16" s="25"/>
      <c r="AX16" s="25"/>
      <c r="AY16" s="25"/>
      <c r="AZ16" s="25"/>
      <c r="BA16" s="25"/>
      <c r="BB16" s="25" t="s">
        <v>269</v>
      </c>
      <c r="BC16" s="25">
        <f>BD16/BD30*100</f>
        <v>0.9361045976007728</v>
      </c>
      <c r="BD16" s="25">
        <f t="shared" si="5"/>
        <v>490.20000000000005</v>
      </c>
      <c r="BE16" s="25"/>
      <c r="BF16" s="25"/>
      <c r="BG16" s="25"/>
      <c r="BH16" s="25"/>
      <c r="BI16" s="25">
        <f>('Total TV Universe (RV)'!I4)</f>
        <v>370.8</v>
      </c>
      <c r="BJ16" s="25"/>
      <c r="BK16" s="25">
        <f>('Radio (RV)'!G4)</f>
        <v>119.4</v>
      </c>
      <c r="BL16" s="25"/>
      <c r="BM16" s="25"/>
      <c r="BN16" s="25" t="s">
        <v>462</v>
      </c>
      <c r="BO16" s="25">
        <f>BP16/BP18*100</f>
        <v>1.5093599222884855</v>
      </c>
      <c r="BP16" s="25">
        <f t="shared" si="6"/>
        <v>983.60047509874869</v>
      </c>
      <c r="BQ16" s="25"/>
      <c r="BR16" s="25"/>
      <c r="BS16" s="25"/>
      <c r="BT16" s="25"/>
      <c r="BU16" s="25"/>
      <c r="BV16" s="25"/>
      <c r="BW16" s="25">
        <f>('Newspaper (RV)'!H3)</f>
        <v>983.60047509874869</v>
      </c>
      <c r="BX16" s="25"/>
      <c r="BY16" s="25"/>
      <c r="BZ16" s="63" t="s">
        <v>606</v>
      </c>
      <c r="CA16" s="25">
        <f>CB16/CB17*100</f>
        <v>0.85913863147236569</v>
      </c>
      <c r="CB16" s="25">
        <f t="shared" si="7"/>
        <v>583.64814000000001</v>
      </c>
      <c r="CC16" s="362">
        <f>('Wireline (RV) '!I19)</f>
        <v>99.148139999999998</v>
      </c>
      <c r="CD16" s="25"/>
      <c r="CE16" s="25">
        <v>173.9</v>
      </c>
      <c r="CF16" s="24">
        <f>('CableSatIPTV (RV)'!I36)</f>
        <v>310.60000000000002</v>
      </c>
      <c r="CG16" s="25"/>
      <c r="CH16" s="25"/>
      <c r="CI16" s="25"/>
      <c r="CJ16" s="25"/>
      <c r="CK16" s="25"/>
      <c r="CL16" s="63" t="s">
        <v>471</v>
      </c>
      <c r="CM16" s="25">
        <f>CN16/CN20*100</f>
        <v>0.80365934433112829</v>
      </c>
      <c r="CN16" s="25">
        <f t="shared" si="8"/>
        <v>565.32060000000001</v>
      </c>
      <c r="CO16" s="25"/>
      <c r="CP16" s="25"/>
      <c r="CQ16" s="25"/>
      <c r="CR16" s="25"/>
      <c r="CS16" s="25"/>
      <c r="CT16" s="25"/>
      <c r="CU16" s="25">
        <f>('Newspaper (RV)'!J12)</f>
        <v>565.32060000000001</v>
      </c>
      <c r="CV16" s="253"/>
      <c r="CW16" s="25"/>
      <c r="CX16" s="63" t="s">
        <v>471</v>
      </c>
      <c r="CY16" s="25">
        <f>CZ16/CZ20*100</f>
        <v>0.65045586345829187</v>
      </c>
      <c r="CZ16" s="25">
        <f t="shared" si="9"/>
        <v>466.96030000000002</v>
      </c>
      <c r="DA16" s="25"/>
      <c r="DB16" s="25"/>
      <c r="DC16" s="25"/>
      <c r="DD16" s="25"/>
      <c r="DE16" s="25"/>
      <c r="DF16" s="25"/>
      <c r="DG16" s="25">
        <f>('Newspaper (RV)'!K12)</f>
        <v>466.96030000000002</v>
      </c>
      <c r="DH16" s="25"/>
      <c r="DI16" s="25"/>
      <c r="DJ16" s="25" t="s">
        <v>192</v>
      </c>
      <c r="DK16" s="25">
        <f>DL16/DL19*100</f>
        <v>0.37260134050456667</v>
      </c>
      <c r="DL16" s="25">
        <f t="shared" si="10"/>
        <v>272.10000000000002</v>
      </c>
      <c r="DM16" s="25"/>
      <c r="DN16" s="25"/>
      <c r="DO16" s="25"/>
      <c r="DP16" s="25"/>
      <c r="DQ16" s="25"/>
      <c r="DR16" s="25"/>
      <c r="DS16" s="25">
        <f>('Newspaper (RV)'!L13)</f>
        <v>272.10000000000002</v>
      </c>
      <c r="DT16" s="25"/>
      <c r="DU16" s="25"/>
      <c r="DV16" s="25"/>
      <c r="DW16" s="25" t="s">
        <v>192</v>
      </c>
      <c r="DX16" s="57">
        <f>DY16/DY19*100</f>
        <v>0.33500384882224521</v>
      </c>
      <c r="DY16" s="57">
        <f t="shared" si="11"/>
        <v>246.9</v>
      </c>
      <c r="DZ16" s="25"/>
      <c r="EA16" s="25"/>
      <c r="EB16" s="25"/>
      <c r="EC16" s="25"/>
      <c r="ED16" s="25"/>
      <c r="EE16" s="25"/>
      <c r="EF16" s="57">
        <f>('Newspaper (RV)'!M13)</f>
        <v>246.9</v>
      </c>
      <c r="EG16" s="25"/>
      <c r="EH16" s="25"/>
      <c r="EI16" s="623"/>
      <c r="EJ16" s="623"/>
      <c r="EK16" s="623"/>
      <c r="EL16" s="25"/>
      <c r="EM16" s="25"/>
      <c r="EN16" s="25"/>
    </row>
    <row r="17" spans="1:144" ht="15.75" customHeight="1" x14ac:dyDescent="0.25">
      <c r="A17" s="25" t="s">
        <v>585</v>
      </c>
      <c r="B17" s="25">
        <f>C17/C33*100</f>
        <v>0.38231935089069347</v>
      </c>
      <c r="C17" s="25">
        <f t="shared" si="0"/>
        <v>74.3</v>
      </c>
      <c r="D17" s="25"/>
      <c r="E17" s="25"/>
      <c r="F17" s="25">
        <v>18.899999999999999</v>
      </c>
      <c r="G17" s="25">
        <v>55.4</v>
      </c>
      <c r="H17" s="25"/>
      <c r="I17" s="25"/>
      <c r="J17" s="25"/>
      <c r="K17" s="25" t="s">
        <v>570</v>
      </c>
      <c r="L17" s="25">
        <f>M17/M35*100</f>
        <v>0.62761625224312667</v>
      </c>
      <c r="M17" s="25">
        <f t="shared" si="13"/>
        <v>143.5</v>
      </c>
      <c r="N17" s="25"/>
      <c r="O17" s="25"/>
      <c r="P17" s="25"/>
      <c r="Q17" s="25">
        <v>122.8</v>
      </c>
      <c r="R17" s="25"/>
      <c r="S17" s="25">
        <f>('Radio (RV)'!C15)</f>
        <v>20.7</v>
      </c>
      <c r="T17" s="25"/>
      <c r="U17" s="25" t="s">
        <v>386</v>
      </c>
      <c r="V17" s="25">
        <f>W17/W34*100</f>
        <v>0.97463460493112353</v>
      </c>
      <c r="W17" s="25">
        <f t="shared" si="2"/>
        <v>243.9</v>
      </c>
      <c r="X17" s="25"/>
      <c r="Y17" s="25"/>
      <c r="Z17" s="25"/>
      <c r="AA17" s="25">
        <v>243.9</v>
      </c>
      <c r="AB17" s="25"/>
      <c r="AC17" s="25"/>
      <c r="AD17" s="25"/>
      <c r="AE17" s="63" t="s">
        <v>680</v>
      </c>
      <c r="AF17" s="25">
        <f>AG17/AG30*100</f>
        <v>1.0069748744034852</v>
      </c>
      <c r="AG17" s="25">
        <f t="shared" si="3"/>
        <v>320</v>
      </c>
      <c r="AH17" s="24">
        <v>317.8</v>
      </c>
      <c r="AI17" s="25"/>
      <c r="AJ17" s="24">
        <v>2.2000000000000002</v>
      </c>
      <c r="AK17" s="25"/>
      <c r="AL17" s="25"/>
      <c r="AM17" s="25"/>
      <c r="AN17" s="25"/>
      <c r="AO17" s="25"/>
      <c r="AP17" s="25" t="s">
        <v>408</v>
      </c>
      <c r="AQ17" s="25">
        <f>AR17/AR27*100</f>
        <v>0.32232581271393046</v>
      </c>
      <c r="AR17" s="25">
        <f t="shared" si="4"/>
        <v>142.69999999999999</v>
      </c>
      <c r="AS17" s="25"/>
      <c r="AT17" s="25"/>
      <c r="AU17" s="25"/>
      <c r="AV17" s="25"/>
      <c r="AW17" s="25"/>
      <c r="AX17" s="25">
        <f>('Newspaper (RV)'!F13)</f>
        <v>142.69999999999999</v>
      </c>
      <c r="AY17" s="25"/>
      <c r="AZ17" s="25"/>
      <c r="BA17" s="25"/>
      <c r="BB17" s="25" t="s">
        <v>683</v>
      </c>
      <c r="BC17" s="25">
        <f>BD17/BD30*100</f>
        <v>0.68460525956727258</v>
      </c>
      <c r="BD17" s="25">
        <f t="shared" si="5"/>
        <v>358.5</v>
      </c>
      <c r="BE17" s="25">
        <v>358.5</v>
      </c>
      <c r="BF17" s="25"/>
      <c r="BG17" s="25"/>
      <c r="BH17" s="25"/>
      <c r="BI17" s="25"/>
      <c r="BJ17" s="25"/>
      <c r="BK17" s="25"/>
      <c r="BL17" s="25"/>
      <c r="BM17" s="25"/>
      <c r="BN17" s="63" t="s">
        <v>606</v>
      </c>
      <c r="BO17" s="25">
        <f>BP17/BP18*100</f>
        <v>0.7258305189114298</v>
      </c>
      <c r="BP17" s="25">
        <f t="shared" si="6"/>
        <v>473</v>
      </c>
      <c r="BQ17" s="25">
        <f>('Wireline (RV) '!H19)</f>
        <v>56.868000000000002</v>
      </c>
      <c r="BR17" s="25"/>
      <c r="BS17" s="25">
        <f>('ISPs (RV)'!E18)</f>
        <v>146.232</v>
      </c>
      <c r="BT17" s="362">
        <f>('CableSatIPTV (RV)'!H36)</f>
        <v>269.89999999999998</v>
      </c>
      <c r="BU17" s="25"/>
      <c r="BV17" s="25"/>
      <c r="BW17" s="25"/>
      <c r="BX17" s="25"/>
      <c r="BY17" s="25"/>
      <c r="BZ17" s="56" t="s">
        <v>92</v>
      </c>
      <c r="CA17" s="56"/>
      <c r="CB17" s="56">
        <f t="shared" si="7"/>
        <v>67934.10500000001</v>
      </c>
      <c r="CC17" s="56">
        <v>16900</v>
      </c>
      <c r="CD17" s="525">
        <f>('Wireless (RV)'!I21)</f>
        <v>18000</v>
      </c>
      <c r="CE17" s="56">
        <f>('ISPs (RV)'!F41)</f>
        <v>6800</v>
      </c>
      <c r="CF17" s="185">
        <f>('CableSatIPTV (RV)'!I47)</f>
        <v>7995.3</v>
      </c>
      <c r="CG17" s="56">
        <v>6890</v>
      </c>
      <c r="CH17" s="56">
        <f>('Radio (RV)'!I30)</f>
        <v>1992.2049999999999</v>
      </c>
      <c r="CI17" s="56">
        <f>('Magazines (RV)'!I39)+('Newspaper (RV)'!I42)</f>
        <v>7077.6</v>
      </c>
      <c r="CJ17" s="52">
        <v>2279</v>
      </c>
      <c r="CK17" s="25"/>
      <c r="CL17" s="25" t="s">
        <v>192</v>
      </c>
      <c r="CM17" s="25">
        <f>CN17/CN20*100</f>
        <v>0.56324842936027797</v>
      </c>
      <c r="CN17" s="25">
        <f t="shared" si="8"/>
        <v>396.20759999999996</v>
      </c>
      <c r="CO17" s="25"/>
      <c r="CP17" s="25"/>
      <c r="CQ17" s="25"/>
      <c r="CR17" s="25"/>
      <c r="CS17" s="25"/>
      <c r="CT17" s="25"/>
      <c r="CU17" s="25">
        <f>('Newspaper (RV)'!J13)</f>
        <v>396.20759999999996</v>
      </c>
      <c r="CV17" s="25"/>
      <c r="CW17" s="25"/>
      <c r="CX17" s="25" t="s">
        <v>192</v>
      </c>
      <c r="CY17" s="25">
        <f>CZ17/CZ20*100</f>
        <v>0.450592641570079</v>
      </c>
      <c r="CZ17" s="25">
        <f t="shared" si="9"/>
        <v>323.47909659338211</v>
      </c>
      <c r="DA17" s="25"/>
      <c r="DB17" s="25"/>
      <c r="DC17" s="25"/>
      <c r="DD17" s="25"/>
      <c r="DE17" s="25"/>
      <c r="DF17" s="25"/>
      <c r="DG17" s="25">
        <f>('Newspaper (RV)'!K13)</f>
        <v>323.47909659338211</v>
      </c>
      <c r="DH17" s="25"/>
      <c r="DI17" s="21"/>
      <c r="DJ17" s="25" t="s">
        <v>109</v>
      </c>
      <c r="DK17" s="25">
        <f>DL17/DL19*100</f>
        <v>0.48653162911162273</v>
      </c>
      <c r="DL17" s="25">
        <f t="shared" si="10"/>
        <v>355.3</v>
      </c>
      <c r="DM17" s="25"/>
      <c r="DN17" s="25"/>
      <c r="DO17" s="25"/>
      <c r="DP17" s="25"/>
      <c r="DQ17" s="25"/>
      <c r="DR17" s="25"/>
      <c r="DS17" s="25"/>
      <c r="DT17" s="25">
        <v>355.3</v>
      </c>
      <c r="DU17" s="25"/>
      <c r="DV17" s="25"/>
      <c r="DW17" s="25" t="s">
        <v>109</v>
      </c>
      <c r="DX17" s="57">
        <f>DY17/DY19*100</f>
        <v>0.72590951445889507</v>
      </c>
      <c r="DY17" s="57">
        <f t="shared" si="11"/>
        <v>535</v>
      </c>
      <c r="DZ17" s="25"/>
      <c r="EA17" s="25"/>
      <c r="EB17" s="25"/>
      <c r="EC17" s="25"/>
      <c r="ED17" s="25"/>
      <c r="EE17" s="25"/>
      <c r="EF17" s="25"/>
      <c r="EG17" s="251">
        <v>535</v>
      </c>
      <c r="EH17" s="25"/>
      <c r="EI17" s="623"/>
      <c r="EJ17" s="623"/>
      <c r="EK17" s="623"/>
      <c r="EL17" s="25"/>
      <c r="EM17" s="25"/>
      <c r="EN17" s="25"/>
    </row>
    <row r="18" spans="1:144" ht="15.75" customHeight="1" x14ac:dyDescent="0.25">
      <c r="A18" s="63" t="s">
        <v>471</v>
      </c>
      <c r="B18" s="25">
        <f>C18/C33*100</f>
        <v>0.65359628465862574</v>
      </c>
      <c r="C18" s="25">
        <f t="shared" si="0"/>
        <v>127.02000000000001</v>
      </c>
      <c r="D18" s="25"/>
      <c r="E18" s="25"/>
      <c r="F18" s="25"/>
      <c r="G18" s="25"/>
      <c r="H18" s="25">
        <f>('Newspaper (RV)'!B12)</f>
        <v>127.02000000000001</v>
      </c>
      <c r="I18" s="25"/>
      <c r="J18" s="25"/>
      <c r="K18" s="63" t="s">
        <v>471</v>
      </c>
      <c r="L18" s="25">
        <f>M18/M35*100</f>
        <v>0.74198674002122955</v>
      </c>
      <c r="M18" s="25">
        <f t="shared" si="13"/>
        <v>169.65</v>
      </c>
      <c r="N18" s="25"/>
      <c r="O18" s="25"/>
      <c r="P18" s="25"/>
      <c r="Q18" s="25"/>
      <c r="R18" s="25">
        <f>('Newspaper (RV)'!C12)</f>
        <v>169.65</v>
      </c>
      <c r="S18" s="25"/>
      <c r="T18" s="25"/>
      <c r="U18" s="25" t="s">
        <v>349</v>
      </c>
      <c r="V18" s="25">
        <f>W18/W34*100</f>
        <v>0.8647434543136332</v>
      </c>
      <c r="W18" s="25">
        <f t="shared" si="2"/>
        <v>216.4</v>
      </c>
      <c r="X18" s="25"/>
      <c r="Y18" s="25"/>
      <c r="Z18" s="25"/>
      <c r="AA18" s="25">
        <v>142.4</v>
      </c>
      <c r="AB18" s="25"/>
      <c r="AC18" s="25">
        <v>74</v>
      </c>
      <c r="AD18" s="25"/>
      <c r="AE18" s="25" t="s">
        <v>386</v>
      </c>
      <c r="AF18" s="25">
        <f>AG18/AG30*100</f>
        <v>1.107672361843834</v>
      </c>
      <c r="AG18" s="25">
        <f t="shared" si="3"/>
        <v>352</v>
      </c>
      <c r="AH18" s="25"/>
      <c r="AI18" s="25"/>
      <c r="AJ18" s="25"/>
      <c r="AK18" s="25"/>
      <c r="AL18" s="25">
        <v>352</v>
      </c>
      <c r="AM18" s="25"/>
      <c r="AN18" s="25"/>
      <c r="AO18" s="25"/>
      <c r="AP18" s="25" t="s">
        <v>20</v>
      </c>
      <c r="AQ18" s="25">
        <f>AR18/AR27*100</f>
        <v>0.92247976112382146</v>
      </c>
      <c r="AR18" s="25">
        <f t="shared" si="4"/>
        <v>408.40000000000032</v>
      </c>
      <c r="AS18" s="25"/>
      <c r="AT18" s="25"/>
      <c r="AU18" s="25">
        <f>('ISPs (RV)'!C17)</f>
        <v>30.092101355473343</v>
      </c>
      <c r="AV18" s="25">
        <f>('CableSatIPTV (RV)'!F33)</f>
        <v>341.10789864452698</v>
      </c>
      <c r="AW18" s="25">
        <f>('Total TV Universe (RV)'!H40)</f>
        <v>37.200000000000003</v>
      </c>
      <c r="AX18" s="25"/>
      <c r="AY18" s="25"/>
      <c r="AZ18" s="25"/>
      <c r="BA18" s="25"/>
      <c r="BB18" s="25" t="s">
        <v>597</v>
      </c>
      <c r="BC18" s="25">
        <f>BD18/BD30*100</f>
        <v>0.54660479760622716</v>
      </c>
      <c r="BD18" s="25">
        <f t="shared" si="5"/>
        <v>286.2347567497423</v>
      </c>
      <c r="BE18" s="25"/>
      <c r="BF18" s="25"/>
      <c r="BG18" s="25"/>
      <c r="BH18" s="25"/>
      <c r="BI18" s="25"/>
      <c r="BJ18" s="25">
        <f>('Newspaper (RV)'!G5)</f>
        <v>286.2347567497423</v>
      </c>
      <c r="BK18" s="25"/>
      <c r="BL18" s="25"/>
      <c r="BM18" s="25"/>
      <c r="BN18" s="56" t="s">
        <v>92</v>
      </c>
      <c r="BO18" s="56"/>
      <c r="BP18" s="56">
        <f t="shared" si="6"/>
        <v>65166.727999999996</v>
      </c>
      <c r="BQ18" s="56">
        <v>18000</v>
      </c>
      <c r="BR18" s="56">
        <f>('Wireless (RV)'!H21)</f>
        <v>16200</v>
      </c>
      <c r="BS18" s="56">
        <f>('ISPs (RV)'!E41)</f>
        <v>6200</v>
      </c>
      <c r="BT18" s="56">
        <f>('CableSatIPTV (RV)'!H47)</f>
        <v>6953.5</v>
      </c>
      <c r="BU18" s="56">
        <v>6312.9</v>
      </c>
      <c r="BV18" s="56">
        <f>('Radio (RV)'!H30)</f>
        <v>1969.528</v>
      </c>
      <c r="BW18" s="56">
        <f>('Magazines (RV)'!H39)+('Newspaper (RV)'!H42)</f>
        <v>7828.7000000000007</v>
      </c>
      <c r="BX18" s="56">
        <v>1702.1</v>
      </c>
      <c r="BY18" s="25"/>
      <c r="BZ18" s="25" t="s">
        <v>684</v>
      </c>
      <c r="CA18" s="25">
        <v>27.3</v>
      </c>
      <c r="CB18" s="25"/>
      <c r="CC18" s="25"/>
      <c r="CD18" s="25"/>
      <c r="CE18" s="25"/>
      <c r="CF18" s="25"/>
      <c r="CG18" s="25"/>
      <c r="CH18" s="25"/>
      <c r="CI18" s="25"/>
      <c r="CJ18" s="25"/>
      <c r="CK18" s="25"/>
      <c r="CL18" s="25" t="s">
        <v>109</v>
      </c>
      <c r="CM18" s="25">
        <f>CN18/CN20*100</f>
        <v>0.23115203901687198</v>
      </c>
      <c r="CN18" s="25">
        <f t="shared" si="8"/>
        <v>162.6</v>
      </c>
      <c r="CO18" s="25"/>
      <c r="CP18" s="25"/>
      <c r="CQ18" s="25"/>
      <c r="CR18" s="25"/>
      <c r="CS18" s="25"/>
      <c r="CT18" s="25"/>
      <c r="CU18" s="25"/>
      <c r="CV18" s="25">
        <v>162.6</v>
      </c>
      <c r="CW18" s="25"/>
      <c r="CX18" s="25" t="s">
        <v>109</v>
      </c>
      <c r="CY18" s="25">
        <f>CZ18/CZ20*100</f>
        <v>0.31996234334346974</v>
      </c>
      <c r="CZ18" s="25">
        <f t="shared" si="9"/>
        <v>229.7</v>
      </c>
      <c r="DA18" s="25"/>
      <c r="DB18" s="25"/>
      <c r="DC18" s="25"/>
      <c r="DD18" s="25"/>
      <c r="DE18" s="25"/>
      <c r="DF18" s="25"/>
      <c r="DG18" s="25"/>
      <c r="DH18" s="25">
        <v>229.7</v>
      </c>
      <c r="DI18" s="21"/>
      <c r="DJ18" s="25" t="s">
        <v>625</v>
      </c>
      <c r="DK18" s="25">
        <f>DL18/DL19*100</f>
        <v>0.29578055696062627</v>
      </c>
      <c r="DL18" s="25">
        <f t="shared" si="10"/>
        <v>216</v>
      </c>
      <c r="DM18" s="25"/>
      <c r="DN18" s="25"/>
      <c r="DO18" s="25"/>
      <c r="DP18" s="25"/>
      <c r="DQ18" s="25"/>
      <c r="DR18" s="25"/>
      <c r="DS18" s="25"/>
      <c r="DT18" s="25">
        <v>216</v>
      </c>
      <c r="DU18" s="25"/>
      <c r="DV18" s="25"/>
      <c r="DW18" s="25" t="s">
        <v>625</v>
      </c>
      <c r="DX18" s="57">
        <f>DY18/DY19*100</f>
        <v>0.39755418268496495</v>
      </c>
      <c r="DY18" s="57">
        <f t="shared" si="11"/>
        <v>293</v>
      </c>
      <c r="DZ18" s="25"/>
      <c r="EA18" s="25"/>
      <c r="EB18" s="25"/>
      <c r="EC18" s="25"/>
      <c r="ED18" s="25"/>
      <c r="EE18" s="25"/>
      <c r="EF18" s="25"/>
      <c r="EG18" s="251">
        <v>293</v>
      </c>
      <c r="EH18" s="25"/>
      <c r="EI18" s="623"/>
      <c r="EJ18" s="623"/>
      <c r="EK18" s="623"/>
      <c r="EL18" s="25"/>
      <c r="EM18" s="25"/>
      <c r="EN18" s="25"/>
    </row>
    <row r="19" spans="1:144" ht="15.75" customHeight="1" x14ac:dyDescent="0.25">
      <c r="A19" s="63" t="s">
        <v>680</v>
      </c>
      <c r="B19" s="25">
        <f>C19/C33*100</f>
        <v>0.65349337231652849</v>
      </c>
      <c r="C19" s="25">
        <f t="shared" si="0"/>
        <v>127</v>
      </c>
      <c r="D19" s="24">
        <v>127</v>
      </c>
      <c r="E19" s="25"/>
      <c r="F19" s="25"/>
      <c r="G19" s="25"/>
      <c r="H19" s="25"/>
      <c r="I19" s="25"/>
      <c r="J19" s="25"/>
      <c r="K19" s="25" t="s">
        <v>585</v>
      </c>
      <c r="L19" s="25">
        <f>M19/M35*100</f>
        <v>0.45573249814448646</v>
      </c>
      <c r="M19" s="25">
        <f t="shared" si="13"/>
        <v>104.2</v>
      </c>
      <c r="N19" s="25"/>
      <c r="O19" s="25"/>
      <c r="P19" s="25">
        <f>('CableSatIPTV (RV)'!C29)</f>
        <v>36.799999999999997</v>
      </c>
      <c r="Q19" s="362">
        <f>('Total TV Universe (RV)'!C41)</f>
        <v>67.400000000000006</v>
      </c>
      <c r="R19" s="362"/>
      <c r="S19" s="25"/>
      <c r="T19" s="25"/>
      <c r="U19" s="25" t="s">
        <v>532</v>
      </c>
      <c r="V19" s="25">
        <f>W19/W34*100</f>
        <v>0.90909951874469286</v>
      </c>
      <c r="W19" s="25">
        <f t="shared" si="2"/>
        <v>227.5</v>
      </c>
      <c r="X19" s="25"/>
      <c r="Y19" s="25"/>
      <c r="Z19" s="25"/>
      <c r="AA19" s="25">
        <v>227.5</v>
      </c>
      <c r="AB19" s="25"/>
      <c r="AC19" s="25"/>
      <c r="AD19" s="25"/>
      <c r="AE19" s="25" t="s">
        <v>585</v>
      </c>
      <c r="AF19" s="25">
        <f>AG19/AG30*100</f>
        <v>0.75932199122987809</v>
      </c>
      <c r="AG19" s="25">
        <f t="shared" si="3"/>
        <v>241.29999999999998</v>
      </c>
      <c r="AH19" s="25"/>
      <c r="AI19" s="25"/>
      <c r="AJ19" s="25"/>
      <c r="AK19" s="25">
        <v>130.6</v>
      </c>
      <c r="AL19" s="25">
        <v>65.099999999999994</v>
      </c>
      <c r="AM19" s="25">
        <v>45.6</v>
      </c>
      <c r="AN19" s="25"/>
      <c r="AO19" s="25"/>
      <c r="AP19" s="63" t="s">
        <v>471</v>
      </c>
      <c r="AQ19" s="25">
        <f>AR19/AR27*100</f>
        <v>0.9279839204820638</v>
      </c>
      <c r="AR19" s="25">
        <f t="shared" si="4"/>
        <v>410.83679999999998</v>
      </c>
      <c r="AS19" s="25"/>
      <c r="AT19" s="25"/>
      <c r="AU19" s="25"/>
      <c r="AV19" s="25"/>
      <c r="AW19" s="25"/>
      <c r="AX19" s="25">
        <f>('Newspaper (RV)'!F12)</f>
        <v>410.83679999999998</v>
      </c>
      <c r="AY19" s="25"/>
      <c r="AZ19" s="25"/>
      <c r="BA19" s="25"/>
      <c r="BB19" s="63" t="s">
        <v>605</v>
      </c>
      <c r="BC19" s="25">
        <f>BD19/BD30*100</f>
        <v>0.45659447018838184</v>
      </c>
      <c r="BD19" s="25">
        <f t="shared" si="5"/>
        <v>239.1</v>
      </c>
      <c r="BE19" s="25"/>
      <c r="BF19" s="25"/>
      <c r="BG19" s="25"/>
      <c r="BH19" s="25"/>
      <c r="BI19" s="25">
        <v>239.1</v>
      </c>
      <c r="BJ19" s="25"/>
      <c r="BK19" s="25"/>
      <c r="BL19" s="25"/>
      <c r="BM19" s="25"/>
      <c r="BN19" s="25" t="s">
        <v>631</v>
      </c>
      <c r="BO19" s="25">
        <f>BO3+BO5+BO6</f>
        <v>26.695998843092816</v>
      </c>
      <c r="BP19" s="25"/>
      <c r="BQ19" s="25"/>
      <c r="BR19" s="25"/>
      <c r="BS19" s="25"/>
      <c r="BT19" s="25"/>
      <c r="BU19" s="25"/>
      <c r="BV19" s="25"/>
      <c r="BW19" s="25"/>
      <c r="BX19" s="25"/>
      <c r="BY19" s="25"/>
      <c r="BZ19" s="25"/>
      <c r="CA19" s="25"/>
      <c r="CB19" s="25"/>
      <c r="CC19" s="25"/>
      <c r="CD19" s="25"/>
      <c r="CE19" s="25"/>
      <c r="CF19" s="25"/>
      <c r="CG19" s="25"/>
      <c r="CH19" s="25"/>
      <c r="CI19" s="25"/>
      <c r="CJ19" s="25"/>
      <c r="CK19" s="25"/>
      <c r="CL19" s="25" t="s">
        <v>625</v>
      </c>
      <c r="CM19" s="25">
        <f>CN19/CN20*100</f>
        <v>0.16348391443382704</v>
      </c>
      <c r="CN19" s="25">
        <f t="shared" si="8"/>
        <v>115</v>
      </c>
      <c r="CO19" s="25"/>
      <c r="CP19" s="25"/>
      <c r="CQ19" s="25"/>
      <c r="CR19" s="25"/>
      <c r="CS19" s="25"/>
      <c r="CT19" s="25"/>
      <c r="CU19" s="25"/>
      <c r="CV19" s="25">
        <v>115</v>
      </c>
      <c r="CW19" s="25"/>
      <c r="CX19" s="25" t="s">
        <v>625</v>
      </c>
      <c r="CY19" s="25">
        <f>CZ19/CZ20*100</f>
        <v>0.18721349127280076</v>
      </c>
      <c r="CZ19" s="25">
        <f t="shared" si="9"/>
        <v>134.4</v>
      </c>
      <c r="DA19" s="25"/>
      <c r="DB19" s="25"/>
      <c r="DC19" s="25"/>
      <c r="DD19" s="25"/>
      <c r="DE19" s="25"/>
      <c r="DF19" s="25"/>
      <c r="DG19" s="25"/>
      <c r="DH19" s="25">
        <v>134.4</v>
      </c>
      <c r="DI19" s="21"/>
      <c r="DJ19" s="56" t="s">
        <v>92</v>
      </c>
      <c r="DK19" s="56"/>
      <c r="DL19" s="56">
        <f t="shared" si="10"/>
        <v>73027.112471342567</v>
      </c>
      <c r="DM19" s="196">
        <f>('Wireline (RV) '!L36)</f>
        <v>15600</v>
      </c>
      <c r="DN19" s="56">
        <f>('Wireless (RV)'!L21)</f>
        <v>21200</v>
      </c>
      <c r="DO19" s="530">
        <f>('ISPs (RV)'!I41)</f>
        <v>8100</v>
      </c>
      <c r="DP19" s="221">
        <f>('CableSatIPTV (RV)'!L47)</f>
        <v>8793.9</v>
      </c>
      <c r="DQ19" s="42">
        <f>('Total TV Universe (RV)'!N48)</f>
        <v>7281.8940000000002</v>
      </c>
      <c r="DR19" s="56">
        <f>('Radio (RV)'!L30)</f>
        <v>1998.7830000000001</v>
      </c>
      <c r="DS19" s="46">
        <f>('Magazines (RV)'!L39)+('Newspaper (RV)'!L42)</f>
        <v>6311.5354713425568</v>
      </c>
      <c r="DT19" s="56">
        <v>3741</v>
      </c>
      <c r="DU19" s="25"/>
      <c r="DV19" s="25"/>
      <c r="DW19" s="56" t="s">
        <v>92</v>
      </c>
      <c r="DX19" s="25"/>
      <c r="DY19" s="364">
        <f t="shared" si="11"/>
        <v>73700.645789000002</v>
      </c>
      <c r="DZ19" s="364">
        <f>('Wireline (RV) '!M36)</f>
        <v>15000</v>
      </c>
      <c r="EA19" s="364">
        <f>('Wireless (RV)'!M21)</f>
        <v>22000</v>
      </c>
      <c r="EB19" s="364">
        <f>('ISPs (RV)'!J41)</f>
        <v>8900</v>
      </c>
      <c r="EC19" s="364">
        <f>('CableSatIPTV (RV)'!M47)</f>
        <v>8922.4</v>
      </c>
      <c r="ED19" s="364">
        <f>('Total TV Universe (RV)'!O48)</f>
        <v>7275.6</v>
      </c>
      <c r="EE19" s="364">
        <f>('Radio (RV)'!M30)</f>
        <v>1902.7</v>
      </c>
      <c r="EF19" s="221">
        <f>('Magazines (RV)'!M39)+('Newspaper (RV)'!M42)</f>
        <v>5613.9457889999994</v>
      </c>
      <c r="EG19" s="530">
        <v>4086</v>
      </c>
      <c r="EH19" s="530"/>
      <c r="EI19" s="530"/>
      <c r="EJ19" s="530"/>
      <c r="EK19" s="530"/>
      <c r="EL19" s="530"/>
      <c r="EM19" s="530"/>
      <c r="EN19" s="530"/>
    </row>
    <row r="20" spans="1:144" ht="15.75" customHeight="1" x14ac:dyDescent="0.25">
      <c r="A20" s="25" t="s">
        <v>349</v>
      </c>
      <c r="B20" s="25">
        <f>C20/C33*100</f>
        <v>0.53565874061535923</v>
      </c>
      <c r="C20" s="25">
        <f t="shared" si="0"/>
        <v>104.10000000000001</v>
      </c>
      <c r="D20" s="25"/>
      <c r="E20" s="25"/>
      <c r="F20" s="25"/>
      <c r="G20" s="25">
        <v>73.900000000000006</v>
      </c>
      <c r="H20" s="25"/>
      <c r="I20" s="25">
        <v>30.2</v>
      </c>
      <c r="J20" s="25"/>
      <c r="K20" s="25" t="s">
        <v>332</v>
      </c>
      <c r="L20" s="25">
        <f>M20/M35*100</f>
        <v>1.0006870976531526</v>
      </c>
      <c r="M20" s="25">
        <f t="shared" si="13"/>
        <v>228.8</v>
      </c>
      <c r="N20" s="25"/>
      <c r="O20" s="25"/>
      <c r="P20" s="25"/>
      <c r="Q20" s="25">
        <v>228.8</v>
      </c>
      <c r="R20" s="25"/>
      <c r="S20" s="25"/>
      <c r="T20" s="25"/>
      <c r="U20" s="25" t="s">
        <v>332</v>
      </c>
      <c r="V20" s="25">
        <f>W20/W34*100</f>
        <v>0.67413225851529535</v>
      </c>
      <c r="W20" s="25">
        <f t="shared" si="2"/>
        <v>168.7</v>
      </c>
      <c r="X20" s="25"/>
      <c r="Y20" s="25"/>
      <c r="Z20" s="25"/>
      <c r="AA20" s="25">
        <v>168.7</v>
      </c>
      <c r="AB20" s="25"/>
      <c r="AC20" s="25"/>
      <c r="AD20" s="25"/>
      <c r="AE20" s="25" t="s">
        <v>349</v>
      </c>
      <c r="AF20" s="25">
        <f>AG20/AG30*100</f>
        <v>0.7527137186166053</v>
      </c>
      <c r="AG20" s="25">
        <f t="shared" si="3"/>
        <v>239.2</v>
      </c>
      <c r="AH20" s="25"/>
      <c r="AI20" s="25"/>
      <c r="AJ20" s="25"/>
      <c r="AK20" s="25"/>
      <c r="AL20" s="25">
        <v>169.5</v>
      </c>
      <c r="AM20" s="25"/>
      <c r="AN20" s="25">
        <v>69.7</v>
      </c>
      <c r="AO20" s="25"/>
      <c r="AP20" s="25" t="s">
        <v>349</v>
      </c>
      <c r="AQ20" s="25">
        <f>AR20/AR27*100</f>
        <v>0.8234381523173101</v>
      </c>
      <c r="AR20" s="25">
        <f t="shared" si="4"/>
        <v>364.55232469999993</v>
      </c>
      <c r="AS20" s="25"/>
      <c r="AT20" s="25"/>
      <c r="AU20" s="25"/>
      <c r="AV20" s="25"/>
      <c r="AW20" s="25">
        <f>('Total TV Universe (RV)'!H16)</f>
        <v>266.35232469999994</v>
      </c>
      <c r="AX20" s="25"/>
      <c r="AY20" s="25">
        <f>('Radio (RV)'!F11)</f>
        <v>98.2</v>
      </c>
      <c r="AZ20" s="25"/>
      <c r="BA20" s="25"/>
      <c r="BB20" s="25" t="s">
        <v>614</v>
      </c>
      <c r="BC20" s="25">
        <f>BD20/BD30*100</f>
        <v>0.31108004681592388</v>
      </c>
      <c r="BD20" s="25">
        <f t="shared" si="5"/>
        <v>162.9</v>
      </c>
      <c r="BE20" s="25"/>
      <c r="BF20" s="25"/>
      <c r="BG20" s="25"/>
      <c r="BH20" s="25"/>
      <c r="BI20" s="25"/>
      <c r="BJ20" s="25"/>
      <c r="BK20" s="25">
        <f>('Radio (RV)'!G5)</f>
        <v>162.9</v>
      </c>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56" t="s">
        <v>92</v>
      </c>
      <c r="CM20" s="56"/>
      <c r="CN20" s="56">
        <f t="shared" si="8"/>
        <v>70343.312000000005</v>
      </c>
      <c r="CO20" s="56">
        <v>16400</v>
      </c>
      <c r="CP20" s="56">
        <f>('Wireless (RV)'!J21)</f>
        <v>19300</v>
      </c>
      <c r="CQ20" s="56">
        <f>('ISPs (RV)'!G41)</f>
        <v>7200</v>
      </c>
      <c r="CR20" s="221">
        <f>('CableSatIPTV (RV)'!J47)</f>
        <v>8459.1</v>
      </c>
      <c r="CS20" s="56">
        <v>7249.8</v>
      </c>
      <c r="CT20" s="56">
        <f>('Radio (RV)'!J30)</f>
        <v>2025.6120000000001</v>
      </c>
      <c r="CU20" s="56">
        <f>('Magazines (RV)'!J39)+('Newspaper (RV)'!J42)</f>
        <v>6919.8</v>
      </c>
      <c r="CV20" s="56">
        <v>2789</v>
      </c>
      <c r="CW20" s="25"/>
      <c r="CX20" s="56" t="s">
        <v>92</v>
      </c>
      <c r="CY20" s="56"/>
      <c r="CZ20" s="56">
        <f t="shared" si="9"/>
        <v>71789.697999999989</v>
      </c>
      <c r="DA20" s="56">
        <f>('Wireline (RV) '!K36)</f>
        <v>15900</v>
      </c>
      <c r="DB20" s="56">
        <f>('Wireless (RV)'!K21)</f>
        <v>20316.599999999999</v>
      </c>
      <c r="DC20" s="56">
        <f>('ISPs (RV)'!H41)</f>
        <v>7625</v>
      </c>
      <c r="DD20" s="221">
        <f>('CableSatIPTV (RV)'!K47)</f>
        <v>8560.7999999999993</v>
      </c>
      <c r="DE20" s="56">
        <f>('Total TV Universe (RV)'!M48)</f>
        <v>7387.4580000000005</v>
      </c>
      <c r="DF20" s="56">
        <f>('Radio (RV)'!K30)</f>
        <v>2017.94</v>
      </c>
      <c r="DG20" s="46">
        <f>('Magazines (RV)'!K39)+('Newspaper (RV)'!K42)</f>
        <v>6762.5</v>
      </c>
      <c r="DH20" s="56">
        <v>3219.4</v>
      </c>
      <c r="DI20" s="21"/>
      <c r="DJ20" s="25" t="s">
        <v>631</v>
      </c>
      <c r="DK20" s="25">
        <f>DK2+DK3+DK5+DK6</f>
        <v>57.211336693910368</v>
      </c>
      <c r="DL20" s="25"/>
      <c r="DM20" s="25"/>
      <c r="DN20" s="25"/>
      <c r="DO20" s="25"/>
      <c r="DP20" s="25"/>
      <c r="DQ20" s="25"/>
      <c r="DR20" s="25"/>
      <c r="DS20" s="25"/>
      <c r="DT20" s="25"/>
      <c r="DU20" s="25"/>
      <c r="DV20" s="25"/>
      <c r="DW20" s="25" t="s">
        <v>631</v>
      </c>
      <c r="DX20" s="57">
        <f>DX2+DX3+DX5+DX6</f>
        <v>57.310071863712359</v>
      </c>
      <c r="DY20" s="25"/>
      <c r="DZ20" s="25"/>
      <c r="EA20" s="25"/>
      <c r="EB20" s="25"/>
      <c r="EC20" s="25"/>
      <c r="ED20" s="25"/>
      <c r="EE20" s="25"/>
      <c r="EF20" s="25"/>
      <c r="EG20" s="63"/>
      <c r="EH20" s="25"/>
      <c r="EI20" s="25"/>
      <c r="EJ20" s="25"/>
      <c r="EK20" s="25"/>
      <c r="EL20" s="25"/>
      <c r="EM20" s="25"/>
      <c r="EN20" s="25"/>
    </row>
    <row r="21" spans="1:144" ht="15.75" customHeight="1" x14ac:dyDescent="0.25">
      <c r="A21" s="25" t="s">
        <v>591</v>
      </c>
      <c r="B21" s="25">
        <f>C21/C33*100</f>
        <v>0.43634833049166627</v>
      </c>
      <c r="C21" s="25">
        <f t="shared" si="0"/>
        <v>84.8</v>
      </c>
      <c r="D21" s="25"/>
      <c r="E21" s="25"/>
      <c r="F21" s="108"/>
      <c r="G21" s="25">
        <v>84.8</v>
      </c>
      <c r="H21" s="108"/>
      <c r="I21" s="25"/>
      <c r="J21" s="25"/>
      <c r="K21" s="25" t="s">
        <v>386</v>
      </c>
      <c r="L21" s="25">
        <f>M21/M35*100</f>
        <v>0.61930635064548245</v>
      </c>
      <c r="M21" s="25">
        <f t="shared" si="13"/>
        <v>141.6</v>
      </c>
      <c r="N21" s="25"/>
      <c r="O21" s="25"/>
      <c r="P21" s="25"/>
      <c r="Q21" s="25">
        <v>141.6</v>
      </c>
      <c r="R21" s="25"/>
      <c r="S21" s="25"/>
      <c r="T21" s="25"/>
      <c r="U21" s="25" t="s">
        <v>585</v>
      </c>
      <c r="V21" s="25">
        <f>W21/W34*100</f>
        <v>1.5520626509030273</v>
      </c>
      <c r="W21" s="25">
        <f t="shared" si="2"/>
        <v>388.4</v>
      </c>
      <c r="X21" s="25"/>
      <c r="Y21" s="25"/>
      <c r="Z21" s="25">
        <v>48.8</v>
      </c>
      <c r="AA21" s="25">
        <v>105.5</v>
      </c>
      <c r="AB21" s="25">
        <f>188.7+45.4</f>
        <v>234.1</v>
      </c>
      <c r="AC21" s="25"/>
      <c r="AD21" s="25"/>
      <c r="AE21" s="25" t="s">
        <v>332</v>
      </c>
      <c r="AF21" s="25">
        <f>AG21/AG30*100</f>
        <v>0.68033739951885475</v>
      </c>
      <c r="AG21" s="25">
        <f t="shared" si="3"/>
        <v>216.2</v>
      </c>
      <c r="AH21" s="25"/>
      <c r="AI21" s="25"/>
      <c r="AJ21" s="25"/>
      <c r="AK21" s="25"/>
      <c r="AL21" s="25">
        <v>216.2</v>
      </c>
      <c r="AM21" s="25"/>
      <c r="AN21" s="25"/>
      <c r="AO21" s="25"/>
      <c r="AP21" s="25" t="s">
        <v>683</v>
      </c>
      <c r="AQ21" s="25">
        <f>AR21/AR27*100</f>
        <v>0.60760787400173299</v>
      </c>
      <c r="AR21" s="25">
        <f t="shared" si="4"/>
        <v>269</v>
      </c>
      <c r="AS21" s="25">
        <f>('Wireline (RV) '!F26)</f>
        <v>269</v>
      </c>
      <c r="AT21" s="25"/>
      <c r="AU21" s="25"/>
      <c r="AV21" s="25"/>
      <c r="AW21" s="25"/>
      <c r="AX21" s="25"/>
      <c r="AY21" s="25"/>
      <c r="AZ21" s="25"/>
      <c r="BA21" s="21"/>
      <c r="BB21" s="63" t="s">
        <v>606</v>
      </c>
      <c r="BC21" s="25">
        <f>BD21/BD30*100</f>
        <v>0.36053967365774353</v>
      </c>
      <c r="BD21" s="25">
        <f t="shared" si="5"/>
        <v>188.79999999999998</v>
      </c>
      <c r="BE21" s="25">
        <f>('Wireline (RV) '!G19)</f>
        <v>27.4</v>
      </c>
      <c r="BF21" s="25"/>
      <c r="BG21" s="25">
        <v>20.7</v>
      </c>
      <c r="BH21" s="25">
        <f>('CableSatIPTV (RV)'!G36)</f>
        <v>140.69999999999999</v>
      </c>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t="s">
        <v>631</v>
      </c>
      <c r="CM21" s="25">
        <v>56.530924682850134</v>
      </c>
      <c r="CN21" s="25"/>
      <c r="CO21" s="25"/>
      <c r="CP21" s="25"/>
      <c r="CQ21" s="25"/>
      <c r="CR21" s="25"/>
      <c r="CS21" s="25"/>
      <c r="CT21" s="25"/>
      <c r="CU21" s="25"/>
      <c r="CV21" s="25"/>
      <c r="CW21" s="25"/>
      <c r="CX21" s="25" t="s">
        <v>631</v>
      </c>
      <c r="CY21" s="25">
        <v>55.953467534129999</v>
      </c>
      <c r="CZ21" s="25"/>
      <c r="DA21" s="25"/>
      <c r="DB21" s="25"/>
      <c r="DC21" s="25"/>
      <c r="DD21" s="25"/>
      <c r="DE21" s="25"/>
      <c r="DF21" s="25"/>
      <c r="DG21" s="25"/>
      <c r="DH21" s="25"/>
      <c r="DI21" s="25"/>
      <c r="DJ21" s="25"/>
      <c r="DK21" s="25"/>
      <c r="DL21" s="25"/>
      <c r="DM21" s="25"/>
      <c r="DN21" s="25"/>
      <c r="DO21" s="25"/>
      <c r="DP21" s="25"/>
      <c r="DQ21" s="25"/>
      <c r="DR21" s="25"/>
      <c r="DS21" s="25"/>
      <c r="DT21" s="617"/>
      <c r="DU21" s="25"/>
      <c r="DV21" s="25"/>
      <c r="DW21" s="25"/>
      <c r="DX21" s="25"/>
      <c r="DY21" s="577"/>
      <c r="DZ21" s="25"/>
      <c r="EA21" s="25"/>
      <c r="EB21" s="25"/>
      <c r="EC21" s="25">
        <f>EC19+ED19</f>
        <v>16198</v>
      </c>
      <c r="ED21" s="25">
        <f>ED19+EG18</f>
        <v>7568.6</v>
      </c>
      <c r="EE21" s="28">
        <f>EG18/ED19</f>
        <v>4.027159272087525E-2</v>
      </c>
      <c r="EF21" s="25"/>
      <c r="EG21" s="63">
        <v>3793</v>
      </c>
      <c r="EH21" s="25"/>
      <c r="EI21" s="25"/>
      <c r="EJ21" s="25"/>
      <c r="EK21" s="25"/>
      <c r="EL21" s="25"/>
      <c r="EM21" s="25"/>
      <c r="EN21" s="25"/>
    </row>
    <row r="22" spans="1:144" ht="15.75" customHeight="1" x14ac:dyDescent="0.25">
      <c r="A22" s="25" t="s">
        <v>386</v>
      </c>
      <c r="B22" s="25">
        <f>C22/C33*100</f>
        <v>0.43634833049166627</v>
      </c>
      <c r="C22" s="25">
        <f t="shared" si="0"/>
        <v>84.8</v>
      </c>
      <c r="D22" s="25"/>
      <c r="E22" s="25"/>
      <c r="F22" s="25"/>
      <c r="G22" s="25">
        <v>84.8</v>
      </c>
      <c r="H22" s="25"/>
      <c r="I22" s="25"/>
      <c r="J22" s="25"/>
      <c r="K22" s="25" t="s">
        <v>385</v>
      </c>
      <c r="L22" s="25">
        <f>M22/M35*100</f>
        <v>0.34116432218100801</v>
      </c>
      <c r="M22" s="25">
        <f t="shared" si="13"/>
        <v>78.004800000000003</v>
      </c>
      <c r="N22" s="25"/>
      <c r="O22" s="25"/>
      <c r="P22" s="25"/>
      <c r="Q22" s="25"/>
      <c r="R22" s="25">
        <f>('Newspaper (RV)'!C10)</f>
        <v>78.004800000000003</v>
      </c>
      <c r="S22" s="25"/>
      <c r="T22" s="25"/>
      <c r="U22" s="25" t="s">
        <v>16</v>
      </c>
      <c r="V22" s="25">
        <f>W22/W34*100</f>
        <v>0.68052592546031299</v>
      </c>
      <c r="W22" s="25">
        <f t="shared" si="2"/>
        <v>170.29999999999998</v>
      </c>
      <c r="X22" s="25"/>
      <c r="Y22" s="25"/>
      <c r="Z22" s="25">
        <f>('CableSatIPTV (RV)'!D3)</f>
        <v>164.6</v>
      </c>
      <c r="AA22" s="25"/>
      <c r="AB22" s="25"/>
      <c r="AC22" s="25">
        <f>('Radio (RV)'!D16)</f>
        <v>5.7</v>
      </c>
      <c r="AD22" s="25"/>
      <c r="AE22" s="63" t="s">
        <v>471</v>
      </c>
      <c r="AF22" s="25">
        <f>AG22/AG30*100</f>
        <v>0.59370609235533001</v>
      </c>
      <c r="AG22" s="25">
        <f t="shared" si="3"/>
        <v>188.67000000000002</v>
      </c>
      <c r="AH22" s="25"/>
      <c r="AI22" s="25"/>
      <c r="AJ22" s="25"/>
      <c r="AK22" s="25"/>
      <c r="AL22" s="25"/>
      <c r="AM22" s="25">
        <f>('Newspaper (RV)'!E12)</f>
        <v>188.67000000000002</v>
      </c>
      <c r="AN22" s="25"/>
      <c r="AO22" s="25"/>
      <c r="AP22" s="25" t="s">
        <v>269</v>
      </c>
      <c r="AQ22" s="25">
        <f>AR22/AR27*100</f>
        <v>0.56130318471907303</v>
      </c>
      <c r="AR22" s="25">
        <f t="shared" si="4"/>
        <v>248.5</v>
      </c>
      <c r="AS22" s="25"/>
      <c r="AT22" s="25"/>
      <c r="AU22" s="25"/>
      <c r="AV22" s="25"/>
      <c r="AW22" s="25">
        <f>('Total TV Universe (RV)'!H4)</f>
        <v>207.7</v>
      </c>
      <c r="AX22" s="25"/>
      <c r="AY22" s="25">
        <f>('Radio (RV)'!F4)</f>
        <v>40.799999999999997</v>
      </c>
      <c r="AZ22" s="25"/>
      <c r="BA22" s="25"/>
      <c r="BB22" s="25" t="s">
        <v>633</v>
      </c>
      <c r="BC22" s="25">
        <f>BD22/BD30*100</f>
        <v>0.36023413156142342</v>
      </c>
      <c r="BD22" s="25">
        <f t="shared" si="5"/>
        <v>188.64</v>
      </c>
      <c r="BE22" s="25"/>
      <c r="BF22" s="25"/>
      <c r="BG22" s="25"/>
      <c r="BH22" s="25"/>
      <c r="BI22" s="25"/>
      <c r="BJ22" s="25">
        <f>('Newspaper (RV)'!G17)</f>
        <v>188.64</v>
      </c>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42"/>
      <c r="DR22" s="25"/>
      <c r="DS22" s="25"/>
      <c r="DT22" s="25"/>
      <c r="DU22" s="25"/>
      <c r="DV22" s="25"/>
      <c r="DW22" s="25"/>
      <c r="DX22" s="25"/>
      <c r="DY22" s="577"/>
      <c r="DZ22" s="481"/>
      <c r="EA22" s="25"/>
      <c r="EB22" s="25"/>
      <c r="EC22" s="28">
        <f>EG18/EC21</f>
        <v>1.8088652920113593E-2</v>
      </c>
      <c r="ED22" s="25"/>
      <c r="EE22" s="25"/>
      <c r="EF22" s="25"/>
      <c r="EG22" s="25">
        <f>EG9+EG17</f>
        <v>2431.5</v>
      </c>
      <c r="EH22" s="25"/>
      <c r="EI22" s="25"/>
      <c r="EJ22" s="25"/>
      <c r="EK22" s="25"/>
      <c r="EL22" s="25"/>
      <c r="EM22" s="25"/>
      <c r="EN22" s="25"/>
    </row>
    <row r="23" spans="1:144" ht="15.75" customHeight="1" x14ac:dyDescent="0.25">
      <c r="A23" s="25" t="s">
        <v>519</v>
      </c>
      <c r="B23" s="25">
        <f>C23/C33*100</f>
        <v>0.29175648984525332</v>
      </c>
      <c r="C23" s="25">
        <f t="shared" si="0"/>
        <v>56.7</v>
      </c>
      <c r="D23" s="25"/>
      <c r="E23" s="25"/>
      <c r="F23" s="25"/>
      <c r="G23" s="25"/>
      <c r="H23" s="25">
        <v>56.7</v>
      </c>
      <c r="I23" s="25"/>
      <c r="J23" s="25"/>
      <c r="K23" s="25" t="s">
        <v>349</v>
      </c>
      <c r="L23" s="25">
        <f>M23/M35*100</f>
        <v>0.49422046343883841</v>
      </c>
      <c r="M23" s="25">
        <f t="shared" si="13"/>
        <v>113</v>
      </c>
      <c r="N23" s="25"/>
      <c r="O23" s="25"/>
      <c r="P23" s="25"/>
      <c r="Q23" s="25">
        <v>113</v>
      </c>
      <c r="R23" s="25"/>
      <c r="S23" s="25"/>
      <c r="T23" s="25"/>
      <c r="U23" s="25" t="s">
        <v>385</v>
      </c>
      <c r="V23" s="25">
        <f>W23/W34*100</f>
        <v>0.36363980749787717</v>
      </c>
      <c r="W23" s="25">
        <f t="shared" si="2"/>
        <v>91</v>
      </c>
      <c r="X23" s="25"/>
      <c r="Y23" s="25"/>
      <c r="Z23" s="25"/>
      <c r="AA23" s="25"/>
      <c r="AB23" s="25">
        <v>91</v>
      </c>
      <c r="AC23" s="25"/>
      <c r="AD23" s="25"/>
      <c r="AE23" s="25" t="s">
        <v>20</v>
      </c>
      <c r="AF23" s="25">
        <f>AG23/AG30*100</f>
        <v>0.48130885964815667</v>
      </c>
      <c r="AG23" s="25">
        <f t="shared" si="3"/>
        <v>152.95201399999999</v>
      </c>
      <c r="AH23" s="25"/>
      <c r="AI23" s="25"/>
      <c r="AJ23" s="25">
        <v>0.2</v>
      </c>
      <c r="AK23" s="25">
        <f>('CableSatIPTV (RV)'!E33)</f>
        <v>152.752014</v>
      </c>
      <c r="AL23" s="25"/>
      <c r="AM23" s="25"/>
      <c r="AN23" s="25"/>
      <c r="AO23" s="25"/>
      <c r="AP23" s="25" t="s">
        <v>419</v>
      </c>
      <c r="AQ23" s="25">
        <f>AR23/AR27*100</f>
        <v>0.35891781107388615</v>
      </c>
      <c r="AR23" s="25">
        <f t="shared" si="4"/>
        <v>158.9</v>
      </c>
      <c r="AS23" s="25"/>
      <c r="AT23" s="25"/>
      <c r="AU23" s="25"/>
      <c r="AV23" s="25">
        <f>('CableSatIPTV (RV)'!F8)</f>
        <v>158.9</v>
      </c>
      <c r="AW23" s="25"/>
      <c r="AX23" s="25"/>
      <c r="AY23" s="25"/>
      <c r="AZ23" s="25"/>
      <c r="BA23" s="25"/>
      <c r="BB23" s="25" t="s">
        <v>638</v>
      </c>
      <c r="BC23" s="25">
        <f>BD23/BD30*100</f>
        <v>0.24109227598187422</v>
      </c>
      <c r="BD23" s="25">
        <f t="shared" si="5"/>
        <v>126.25024381807093</v>
      </c>
      <c r="BE23" s="25"/>
      <c r="BF23" s="25"/>
      <c r="BG23" s="25"/>
      <c r="BH23" s="25"/>
      <c r="BI23" s="25"/>
      <c r="BJ23" s="25">
        <f>('Newspaper (RV)'!G19)</f>
        <v>126.25024381807093</v>
      </c>
      <c r="BK23" s="25"/>
      <c r="BL23" s="25"/>
      <c r="BM23" s="25"/>
      <c r="BN23" s="41"/>
      <c r="BO23" s="41"/>
      <c r="BP23" s="41"/>
      <c r="BQ23" s="41"/>
      <c r="BR23" s="41"/>
      <c r="BS23" s="41"/>
      <c r="BT23" s="41"/>
      <c r="BU23" s="41"/>
      <c r="BV23" s="41"/>
      <c r="BW23" s="56"/>
      <c r="BX23" s="44"/>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56"/>
      <c r="DA23" s="25"/>
      <c r="DB23" s="25"/>
      <c r="DC23" s="25"/>
      <c r="DD23" s="25"/>
      <c r="DE23" s="25"/>
      <c r="DF23" s="25"/>
      <c r="DG23" s="25"/>
      <c r="DH23" s="25"/>
      <c r="DI23" s="25"/>
      <c r="DJ23" s="25"/>
      <c r="DK23" s="25"/>
      <c r="DL23" s="56"/>
      <c r="DM23" s="25"/>
      <c r="DN23" s="25"/>
      <c r="DO23" s="25"/>
      <c r="DP23" s="41"/>
      <c r="DQ23" s="11"/>
      <c r="DR23" s="25"/>
      <c r="DS23" s="25"/>
      <c r="DT23" s="25"/>
      <c r="DU23" s="25"/>
      <c r="DV23" s="25"/>
      <c r="DW23" s="25"/>
      <c r="DX23" s="25"/>
      <c r="DY23" s="25"/>
      <c r="DZ23" s="25"/>
      <c r="EA23" s="25"/>
      <c r="EB23" s="25"/>
      <c r="EC23" s="25"/>
      <c r="ED23" s="25"/>
      <c r="EE23" s="25"/>
      <c r="EF23" s="25"/>
      <c r="EG23" s="481">
        <f>EG22/EG21</f>
        <v>0.64104930134458216</v>
      </c>
      <c r="EH23" s="25"/>
      <c r="EI23" s="25"/>
      <c r="EJ23" s="25"/>
      <c r="EK23" s="25"/>
      <c r="EL23" s="25"/>
      <c r="EM23" s="25"/>
      <c r="EN23" s="25"/>
    </row>
    <row r="24" spans="1:144" ht="15.75" customHeight="1" x14ac:dyDescent="0.25">
      <c r="A24" s="25" t="s">
        <v>532</v>
      </c>
      <c r="B24" s="25">
        <f>C24/C33*100</f>
        <v>0.30050403892350602</v>
      </c>
      <c r="C24" s="25">
        <f t="shared" si="0"/>
        <v>58.4</v>
      </c>
      <c r="D24" s="25"/>
      <c r="E24" s="25"/>
      <c r="F24" s="25"/>
      <c r="G24" s="25">
        <v>58.4</v>
      </c>
      <c r="H24" s="25"/>
      <c r="I24" s="25"/>
      <c r="J24" s="25"/>
      <c r="K24" s="25" t="s">
        <v>419</v>
      </c>
      <c r="L24" s="25">
        <f>M24/M35*100</f>
        <v>0.36476094381238167</v>
      </c>
      <c r="M24" s="25">
        <f t="shared" si="13"/>
        <v>83.4</v>
      </c>
      <c r="N24" s="25"/>
      <c r="O24" s="25"/>
      <c r="P24" s="25">
        <v>31.8</v>
      </c>
      <c r="Q24" s="25">
        <v>17.600000000000001</v>
      </c>
      <c r="R24" s="25"/>
      <c r="S24" s="25">
        <f>('Radio (RV)'!C18)</f>
        <v>34</v>
      </c>
      <c r="T24" s="25"/>
      <c r="U24" s="63" t="s">
        <v>471</v>
      </c>
      <c r="V24" s="25">
        <f>W24/W34*100</f>
        <v>0.64663949065171966</v>
      </c>
      <c r="W24" s="25">
        <f t="shared" si="2"/>
        <v>161.82000000000002</v>
      </c>
      <c r="X24" s="25"/>
      <c r="Y24" s="25"/>
      <c r="Z24" s="25"/>
      <c r="AA24" s="25"/>
      <c r="AB24" s="25">
        <f>('Newspaper (RV)'!D12)</f>
        <v>161.82000000000002</v>
      </c>
      <c r="AC24" s="25"/>
      <c r="AD24" s="25"/>
      <c r="AE24" s="25" t="s">
        <v>532</v>
      </c>
      <c r="AF24" s="25">
        <f>AG24/AG30*100</f>
        <v>0.92484348620995094</v>
      </c>
      <c r="AG24" s="25">
        <f t="shared" si="3"/>
        <v>293.89999999999998</v>
      </c>
      <c r="AH24" s="25"/>
      <c r="AI24" s="25"/>
      <c r="AJ24" s="25"/>
      <c r="AK24" s="25">
        <v>275.89999999999998</v>
      </c>
      <c r="AL24" s="25">
        <v>18</v>
      </c>
      <c r="AM24" s="25"/>
      <c r="AN24" s="25"/>
      <c r="AO24" s="25"/>
      <c r="AP24" s="63" t="s">
        <v>606</v>
      </c>
      <c r="AQ24" s="25">
        <f>AR24/AR27*100</f>
        <v>0.26359791411153249</v>
      </c>
      <c r="AR24" s="25">
        <f t="shared" si="4"/>
        <v>116.7</v>
      </c>
      <c r="AS24" s="25">
        <f>('Wireline (RV) '!F19)</f>
        <v>2.1</v>
      </c>
      <c r="AT24" s="25"/>
      <c r="AU24" s="25">
        <f>('ISPs (RV)'!C18)</f>
        <v>1.4</v>
      </c>
      <c r="AV24" s="25">
        <f>('CableSatIPTV (RV)'!F36)</f>
        <v>113.2</v>
      </c>
      <c r="AW24" s="25"/>
      <c r="AX24" s="25"/>
      <c r="AY24" s="25"/>
      <c r="AZ24" s="25"/>
      <c r="BA24" s="25"/>
      <c r="BB24" s="25" t="s">
        <v>648</v>
      </c>
      <c r="BC24" s="25">
        <f>BD24/BD30*100</f>
        <v>0.14776623366630998</v>
      </c>
      <c r="BD24" s="25">
        <f t="shared" si="5"/>
        <v>77.379181694946695</v>
      </c>
      <c r="BE24" s="25"/>
      <c r="BF24" s="25"/>
      <c r="BG24" s="25"/>
      <c r="BH24" s="25"/>
      <c r="BI24" s="25"/>
      <c r="BJ24" s="25">
        <f>('Newspaper (RV)'!G20)</f>
        <v>77.379181694946695</v>
      </c>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11"/>
      <c r="DR24" s="25"/>
      <c r="DS24" s="25"/>
      <c r="DT24" s="25"/>
      <c r="DU24" s="25"/>
      <c r="DV24" s="25"/>
      <c r="DW24" s="25"/>
      <c r="DX24" s="25"/>
      <c r="DY24" s="25"/>
      <c r="DZ24" s="25"/>
      <c r="EA24" s="25"/>
      <c r="EB24" s="25"/>
      <c r="EC24" s="25"/>
      <c r="ED24" s="25"/>
      <c r="EE24" s="25"/>
      <c r="EF24" s="25"/>
      <c r="EG24" s="25"/>
      <c r="EH24" s="25"/>
      <c r="EI24" s="25"/>
      <c r="EJ24" s="25"/>
      <c r="EK24" s="25"/>
      <c r="EL24" s="25"/>
      <c r="EM24" s="25"/>
      <c r="EN24" s="25"/>
    </row>
    <row r="25" spans="1:144" ht="15.75" customHeight="1" x14ac:dyDescent="0.25">
      <c r="A25" s="25" t="s">
        <v>635</v>
      </c>
      <c r="B25" s="25">
        <f>C25/C33*100</f>
        <v>0.21920328866680405</v>
      </c>
      <c r="C25" s="25">
        <f t="shared" si="0"/>
        <v>42.6</v>
      </c>
      <c r="D25" s="25"/>
      <c r="E25" s="25"/>
      <c r="F25" s="25"/>
      <c r="G25" s="25"/>
      <c r="H25" s="25">
        <v>42.6</v>
      </c>
      <c r="I25" s="25"/>
      <c r="J25" s="25"/>
      <c r="K25" s="25" t="s">
        <v>532</v>
      </c>
      <c r="L25" s="25">
        <f>M25/M35*100</f>
        <v>0.31708835043642292</v>
      </c>
      <c r="M25" s="25">
        <f t="shared" si="13"/>
        <v>72.5</v>
      </c>
      <c r="N25" s="25"/>
      <c r="O25" s="25"/>
      <c r="P25" s="25"/>
      <c r="Q25" s="25">
        <v>72.5</v>
      </c>
      <c r="R25" s="25"/>
      <c r="S25" s="25"/>
      <c r="T25" s="25"/>
      <c r="U25" s="25" t="s">
        <v>20</v>
      </c>
      <c r="V25" s="25">
        <f>W25/W34*100</f>
        <v>0.43836578991777064</v>
      </c>
      <c r="W25" s="25">
        <f t="shared" si="2"/>
        <v>109.7</v>
      </c>
      <c r="X25" s="25"/>
      <c r="Y25" s="25"/>
      <c r="Z25" s="25">
        <f>('CableSatIPTV (RV)'!D33)</f>
        <v>109.7</v>
      </c>
      <c r="AA25" s="25"/>
      <c r="AB25" s="25"/>
      <c r="AC25" s="25"/>
      <c r="AD25" s="25"/>
      <c r="AE25" s="25" t="s">
        <v>269</v>
      </c>
      <c r="AF25" s="25">
        <f>AG25/AG30*100</f>
        <v>0.34646229272444912</v>
      </c>
      <c r="AG25" s="25">
        <f t="shared" si="3"/>
        <v>110.1</v>
      </c>
      <c r="AH25" s="25"/>
      <c r="AI25" s="25"/>
      <c r="AJ25" s="25"/>
      <c r="AK25" s="25"/>
      <c r="AL25" s="25">
        <f>('Total TV Universe (RV)'!F4)</f>
        <v>110.1</v>
      </c>
      <c r="AM25" s="25"/>
      <c r="AN25" s="25"/>
      <c r="AO25" s="25"/>
      <c r="AP25" s="63" t="s">
        <v>605</v>
      </c>
      <c r="AQ25" s="25">
        <f>AR25/AR27*100</f>
        <v>0.22881292801626599</v>
      </c>
      <c r="AR25" s="25">
        <f t="shared" si="4"/>
        <v>101.3</v>
      </c>
      <c r="AS25" s="25"/>
      <c r="AT25" s="25"/>
      <c r="AU25" s="25"/>
      <c r="AV25" s="25"/>
      <c r="AW25" s="25">
        <f>('Total TV Universe (RV)'!H21)</f>
        <v>101.3</v>
      </c>
      <c r="AX25" s="25"/>
      <c r="AY25" s="25"/>
      <c r="AZ25" s="25"/>
      <c r="BA25" s="25"/>
      <c r="BB25" s="25" t="s">
        <v>685</v>
      </c>
      <c r="BC25" s="25">
        <f>BD25/BD30*100</f>
        <v>0.15546499935011743</v>
      </c>
      <c r="BD25" s="25">
        <f t="shared" si="5"/>
        <v>81.410712944632863</v>
      </c>
      <c r="BE25" s="25"/>
      <c r="BF25" s="25"/>
      <c r="BG25" s="25"/>
      <c r="BH25" s="25"/>
      <c r="BI25" s="25"/>
      <c r="BJ25" s="24">
        <f>('Newspaper (RV)'!G22)</f>
        <v>81.410712944632863</v>
      </c>
      <c r="BK25" s="25"/>
      <c r="BL25" s="25"/>
      <c r="BM25" s="25"/>
      <c r="BN25" s="253"/>
      <c r="BO25" s="25"/>
      <c r="BP25" s="25"/>
      <c r="BQ25" s="25"/>
      <c r="BR25" s="25"/>
      <c r="BS25" s="25"/>
      <c r="BT25" s="25"/>
      <c r="BU25" s="25"/>
      <c r="BV25" s="25"/>
      <c r="BW25" s="25"/>
      <c r="BX25" s="25"/>
      <c r="BY25" s="25"/>
      <c r="BZ25" s="25"/>
      <c r="CA25" s="25"/>
      <c r="CB25" s="574"/>
      <c r="CC25" s="25"/>
      <c r="CD25" s="25"/>
      <c r="CE25" s="25"/>
      <c r="CF25" s="25"/>
      <c r="CG25" s="25"/>
      <c r="CH25" s="25"/>
      <c r="CI25" s="25"/>
      <c r="CJ25" s="25"/>
      <c r="CK25" s="25"/>
      <c r="CL25" s="25"/>
      <c r="CM25" s="25"/>
      <c r="CN25" s="25"/>
      <c r="CO25" s="123"/>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row>
    <row r="26" spans="1:144" ht="15.75" customHeight="1" x14ac:dyDescent="0.25">
      <c r="A26" s="25" t="s">
        <v>419</v>
      </c>
      <c r="B26" s="25">
        <f>C26/C33*100</f>
        <v>0.22074697379826044</v>
      </c>
      <c r="C26" s="25">
        <f t="shared" si="0"/>
        <v>42.9</v>
      </c>
      <c r="D26" s="25"/>
      <c r="E26" s="25"/>
      <c r="F26" s="25">
        <v>30.7</v>
      </c>
      <c r="G26" s="25"/>
      <c r="H26" s="25"/>
      <c r="I26" s="25">
        <v>12.2</v>
      </c>
      <c r="J26" s="25"/>
      <c r="K26" s="25" t="s">
        <v>635</v>
      </c>
      <c r="L26" s="25">
        <f>M26/M35*100</f>
        <v>0.25587324163575603</v>
      </c>
      <c r="M26" s="25">
        <f t="shared" si="13"/>
        <v>58.503600000000006</v>
      </c>
      <c r="N26" s="25"/>
      <c r="O26" s="25"/>
      <c r="P26" s="25"/>
      <c r="Q26" s="25"/>
      <c r="R26" s="25">
        <f>('Newspaper (RV)'!C30)</f>
        <v>58.503600000000006</v>
      </c>
      <c r="S26" s="25"/>
      <c r="T26" s="25"/>
      <c r="U26" s="25" t="s">
        <v>636</v>
      </c>
      <c r="V26" s="25">
        <f>W26/W34*100</f>
        <v>0.3800235790444848</v>
      </c>
      <c r="W26" s="25">
        <f t="shared" si="2"/>
        <v>95.1</v>
      </c>
      <c r="X26" s="25"/>
      <c r="Y26" s="25"/>
      <c r="Z26" s="25"/>
      <c r="AA26" s="25">
        <v>95.1</v>
      </c>
      <c r="AB26" s="25"/>
      <c r="AC26" s="25"/>
      <c r="AD26" s="25"/>
      <c r="AE26" s="25" t="s">
        <v>664</v>
      </c>
      <c r="AF26" s="25">
        <f>AG26/AG30*100</f>
        <v>2.2424071734372615</v>
      </c>
      <c r="AG26" s="25">
        <f t="shared" si="3"/>
        <v>712.6</v>
      </c>
      <c r="AH26" s="25">
        <v>712.6</v>
      </c>
      <c r="AI26" s="25"/>
      <c r="AJ26" s="25"/>
      <c r="AK26" s="25"/>
      <c r="AL26" s="25"/>
      <c r="AM26" s="25"/>
      <c r="AN26" s="25"/>
      <c r="AO26" s="25"/>
      <c r="AP26" s="25" t="s">
        <v>644</v>
      </c>
      <c r="AQ26" s="25">
        <f>AR26/AR27*100</f>
        <v>0.2229401381560262</v>
      </c>
      <c r="AR26" s="25">
        <f t="shared" si="4"/>
        <v>98.7</v>
      </c>
      <c r="AS26" s="25"/>
      <c r="AT26" s="25"/>
      <c r="AU26" s="25"/>
      <c r="AV26" s="25"/>
      <c r="AW26" s="25"/>
      <c r="AX26" s="618">
        <v>98.7</v>
      </c>
      <c r="AY26" s="25"/>
      <c r="AZ26" s="25"/>
      <c r="BA26" s="25"/>
      <c r="BB26" s="25"/>
      <c r="BC26" s="25"/>
      <c r="BD26" s="25"/>
      <c r="BE26" s="25"/>
      <c r="BF26" s="25"/>
      <c r="BG26" s="25"/>
      <c r="BH26" s="25"/>
      <c r="BI26" s="25"/>
      <c r="BJ26" s="362"/>
      <c r="BK26" s="25"/>
      <c r="BL26" s="25"/>
      <c r="BM26" s="25"/>
      <c r="BN26" s="25"/>
      <c r="BO26" s="25"/>
      <c r="BP26" s="25"/>
      <c r="BQ26" s="25"/>
      <c r="BR26" s="25"/>
      <c r="BS26" s="25"/>
      <c r="BT26" s="25"/>
      <c r="BU26" s="25"/>
      <c r="BV26" s="25"/>
      <c r="BW26" s="25"/>
      <c r="BX26" s="25"/>
      <c r="BY26" s="25"/>
      <c r="BZ26" s="25"/>
      <c r="CA26" s="25"/>
      <c r="CB26" s="574"/>
      <c r="CC26" s="25"/>
      <c r="CD26" s="25"/>
      <c r="CE26" s="25"/>
      <c r="CF26" s="25"/>
      <c r="CG26" s="25"/>
      <c r="CH26" s="25"/>
      <c r="CI26" s="25"/>
      <c r="CJ26" s="25"/>
      <c r="CK26" s="25"/>
      <c r="CL26" s="25"/>
      <c r="CM26" s="25"/>
      <c r="CN26" s="25"/>
      <c r="CO26" s="123"/>
      <c r="CP26" s="25"/>
      <c r="CQ26" s="25"/>
      <c r="CR26" s="25"/>
      <c r="CS26" s="25"/>
      <c r="CT26" s="25"/>
      <c r="CU26" s="25"/>
      <c r="CV26" s="25"/>
      <c r="CW26" s="25"/>
      <c r="CX26" s="25"/>
      <c r="CY26" s="25"/>
      <c r="CZ26" s="25"/>
      <c r="DA26" s="25"/>
      <c r="DB26" s="25"/>
      <c r="DC26" s="25"/>
      <c r="DD26" s="25"/>
      <c r="DE26" s="123"/>
      <c r="DF26" s="21"/>
      <c r="DG26" s="25"/>
      <c r="DH26" s="25"/>
      <c r="DI26" s="25"/>
      <c r="DJ26" s="25"/>
      <c r="DK26" s="11"/>
      <c r="DL26" s="11"/>
      <c r="DM26" s="25"/>
      <c r="DN26" s="25"/>
      <c r="DO26" s="9"/>
      <c r="DP26" s="25"/>
      <c r="DQ26" s="123"/>
      <c r="DR26" s="21"/>
      <c r="DS26" s="25"/>
      <c r="DT26" s="25"/>
      <c r="DU26" s="25"/>
      <c r="DV26" s="25"/>
      <c r="DW26" s="25"/>
      <c r="DX26" s="57"/>
      <c r="DY26" s="25"/>
      <c r="DZ26" s="25"/>
      <c r="EA26" s="25"/>
      <c r="EB26" s="25"/>
      <c r="EC26" s="25"/>
      <c r="ED26" s="25"/>
      <c r="EE26" s="25"/>
      <c r="EF26" s="25"/>
      <c r="EG26" s="63"/>
      <c r="EH26" s="25"/>
      <c r="EI26" s="25"/>
      <c r="EJ26" s="25"/>
      <c r="EK26" s="25"/>
      <c r="EL26" s="25"/>
      <c r="EM26" s="25"/>
      <c r="EN26" s="25"/>
    </row>
    <row r="27" spans="1:144" ht="15.75" customHeight="1" x14ac:dyDescent="0.25">
      <c r="A27" s="25" t="s">
        <v>16</v>
      </c>
      <c r="B27" s="25">
        <f>C27/C33*100</f>
        <v>0.20633924590466768</v>
      </c>
      <c r="C27" s="25">
        <f t="shared" si="0"/>
        <v>40.1</v>
      </c>
      <c r="D27" s="25"/>
      <c r="E27" s="25"/>
      <c r="F27" s="25">
        <f>('CableSatIPTV (RV)'!B3)</f>
        <v>35</v>
      </c>
      <c r="G27" s="25"/>
      <c r="H27" s="25"/>
      <c r="I27" s="25">
        <f>('Radio (RV)'!B16)</f>
        <v>5.0999999999999996</v>
      </c>
      <c r="J27" s="25"/>
      <c r="K27" s="25" t="s">
        <v>16</v>
      </c>
      <c r="L27" s="25">
        <f>M27/M35*100</f>
        <v>0.29172128240150907</v>
      </c>
      <c r="M27" s="25">
        <f t="shared" si="13"/>
        <v>66.7</v>
      </c>
      <c r="N27" s="25"/>
      <c r="O27" s="25"/>
      <c r="P27" s="25">
        <f>('CableSatIPTV (RV)'!C3)</f>
        <v>62.5</v>
      </c>
      <c r="Q27" s="25"/>
      <c r="R27" s="25"/>
      <c r="S27" s="25">
        <f>('Radio (RV)'!C16)</f>
        <v>4.2</v>
      </c>
      <c r="T27" s="25"/>
      <c r="U27" s="25" t="s">
        <v>269</v>
      </c>
      <c r="V27" s="25">
        <f>W27/W34*100</f>
        <v>0.35524811963254155</v>
      </c>
      <c r="W27" s="25">
        <f t="shared" si="2"/>
        <v>88.9</v>
      </c>
      <c r="X27" s="25"/>
      <c r="Y27" s="25"/>
      <c r="Z27" s="25"/>
      <c r="AA27" s="25">
        <f>('Total TV Universe (RV)'!E4)</f>
        <v>88.9</v>
      </c>
      <c r="AB27" s="25"/>
      <c r="AC27" s="25"/>
      <c r="AD27" s="25"/>
      <c r="AE27" s="25" t="s">
        <v>622</v>
      </c>
      <c r="AF27" s="25">
        <f>AG27/AG30*100</f>
        <v>0.24828224247010938</v>
      </c>
      <c r="AG27" s="25">
        <f t="shared" si="3"/>
        <v>78.900000000000006</v>
      </c>
      <c r="AH27" s="25"/>
      <c r="AI27" s="25"/>
      <c r="AJ27" s="25"/>
      <c r="AK27" s="25"/>
      <c r="AL27" s="25"/>
      <c r="AM27" s="25">
        <v>78.900000000000006</v>
      </c>
      <c r="AN27" s="25"/>
      <c r="AO27" s="25"/>
      <c r="AP27" s="56" t="s">
        <v>92</v>
      </c>
      <c r="AQ27" s="56"/>
      <c r="AR27" s="56">
        <f t="shared" si="4"/>
        <v>44271.974000000002</v>
      </c>
      <c r="AS27" s="525">
        <v>21200</v>
      </c>
      <c r="AT27" s="56">
        <f>('Wireless (RV)'!F21)</f>
        <v>5400</v>
      </c>
      <c r="AU27" s="56">
        <f>('ISPs (RV)'!C41)</f>
        <v>1800</v>
      </c>
      <c r="AV27" s="56">
        <f>('CableSatIPTV (RV)'!F47)</f>
        <v>4218.5</v>
      </c>
      <c r="AW27" s="56">
        <f>('Total TV Universe (RV)'!H48)</f>
        <v>4353.93</v>
      </c>
      <c r="AX27" s="56">
        <f>('Magazines (RV)'!F39)+('Newspaper (RV)'!F42)</f>
        <v>5968.6</v>
      </c>
      <c r="AY27" s="198">
        <f>('Radio (RV)'!F30)</f>
        <v>1330.944</v>
      </c>
      <c r="AZ27" s="25"/>
      <c r="BA27" s="25"/>
      <c r="BB27" s="25" t="s">
        <v>417</v>
      </c>
      <c r="BC27" s="25">
        <f>BD27/BD30*100</f>
        <v>0.11075900991604411</v>
      </c>
      <c r="BD27" s="25">
        <f t="shared" ref="BD27:BD30" si="14">SUM(BE27:BL27)</f>
        <v>58</v>
      </c>
      <c r="BE27" s="25"/>
      <c r="BF27" s="25"/>
      <c r="BG27" s="25"/>
      <c r="BH27" s="25"/>
      <c r="BI27" s="25"/>
      <c r="BJ27" s="25"/>
      <c r="BK27" s="25">
        <f>('Radio (RV)'!G19)</f>
        <v>58</v>
      </c>
      <c r="BL27" s="25"/>
      <c r="BM27" s="25"/>
      <c r="BN27" s="559"/>
      <c r="BO27" s="559"/>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123"/>
      <c r="CP27" s="25"/>
      <c r="CQ27" s="25"/>
      <c r="CR27" s="25"/>
      <c r="CS27" s="25"/>
      <c r="CT27" s="25"/>
      <c r="CU27" s="25"/>
      <c r="CV27" s="25"/>
      <c r="CW27" s="25"/>
      <c r="CX27" s="25"/>
      <c r="CY27" s="40"/>
      <c r="CZ27" s="25"/>
      <c r="DA27" s="25"/>
      <c r="DB27" s="25"/>
      <c r="DC27" s="25"/>
      <c r="DD27" s="25"/>
      <c r="DE27" s="25"/>
      <c r="DF27" s="10"/>
      <c r="DG27" s="10"/>
      <c r="DH27" s="10"/>
      <c r="DI27" s="10"/>
      <c r="DJ27" s="10"/>
      <c r="DK27" s="10"/>
      <c r="DL27" s="10"/>
      <c r="DM27" s="25"/>
      <c r="DN27" s="25"/>
      <c r="DO27" s="25"/>
      <c r="DP27" s="25"/>
      <c r="DQ27" s="25"/>
      <c r="DR27" s="25"/>
      <c r="DS27" s="25"/>
      <c r="DT27" s="25"/>
      <c r="DU27" s="25"/>
      <c r="DV27" s="25"/>
      <c r="DW27" s="25"/>
      <c r="DX27" s="57"/>
      <c r="DY27" s="25"/>
      <c r="DZ27" s="25"/>
      <c r="EA27" s="25"/>
      <c r="EB27" s="25"/>
      <c r="EC27" s="25"/>
      <c r="ED27" s="25"/>
      <c r="EE27" s="25"/>
      <c r="EF27" s="25"/>
      <c r="EG27" s="25"/>
      <c r="EH27" s="25"/>
      <c r="EI27" s="25"/>
      <c r="EJ27" s="25"/>
      <c r="EK27" s="25"/>
      <c r="EL27" s="25"/>
      <c r="EM27" s="25"/>
      <c r="EN27" s="25"/>
    </row>
    <row r="28" spans="1:144" ht="15.75" customHeight="1" x14ac:dyDescent="0.25">
      <c r="A28" s="25" t="s">
        <v>622</v>
      </c>
      <c r="B28" s="25">
        <f>C28/C33*100</f>
        <v>0.23721294853379501</v>
      </c>
      <c r="C28" s="25">
        <f t="shared" si="0"/>
        <v>46.1</v>
      </c>
      <c r="D28" s="25"/>
      <c r="E28" s="25"/>
      <c r="F28" s="25"/>
      <c r="G28" s="25"/>
      <c r="H28" s="25">
        <v>46.1</v>
      </c>
      <c r="I28" s="25"/>
      <c r="J28" s="25"/>
      <c r="K28" s="25" t="s">
        <v>645</v>
      </c>
      <c r="L28" s="25">
        <f>M28/M35*100</f>
        <v>0.25192122738121325</v>
      </c>
      <c r="M28" s="25">
        <f t="shared" si="13"/>
        <v>57.6</v>
      </c>
      <c r="N28" s="25"/>
      <c r="O28" s="25"/>
      <c r="P28" s="25">
        <v>57.6</v>
      </c>
      <c r="Q28" s="25"/>
      <c r="R28" s="25"/>
      <c r="S28" s="25"/>
      <c r="T28" s="25"/>
      <c r="U28" s="25" t="s">
        <v>645</v>
      </c>
      <c r="V28" s="25">
        <f>W28/W34*100</f>
        <v>0.33566751461342509</v>
      </c>
      <c r="W28" s="25">
        <f t="shared" si="2"/>
        <v>84</v>
      </c>
      <c r="X28" s="25"/>
      <c r="Y28" s="25"/>
      <c r="Z28" s="25">
        <v>84</v>
      </c>
      <c r="AA28" s="25"/>
      <c r="AB28" s="25"/>
      <c r="AC28" s="25"/>
      <c r="AD28" s="25"/>
      <c r="AE28" s="25" t="s">
        <v>419</v>
      </c>
      <c r="AF28" s="25">
        <f>AG28/AG30*100</f>
        <v>0.12461314070743132</v>
      </c>
      <c r="AG28" s="25">
        <f t="shared" si="3"/>
        <v>39.6</v>
      </c>
      <c r="AH28" s="25"/>
      <c r="AI28" s="25"/>
      <c r="AJ28" s="25"/>
      <c r="AK28" s="25">
        <v>19.8</v>
      </c>
      <c r="AL28" s="25">
        <v>19.8</v>
      </c>
      <c r="AM28" s="25"/>
      <c r="AN28" s="25"/>
      <c r="AO28" s="25"/>
      <c r="AP28" s="25"/>
      <c r="AQ28" s="25"/>
      <c r="AR28" s="25"/>
      <c r="AS28" s="25"/>
      <c r="AT28" s="25"/>
      <c r="AU28" s="25"/>
      <c r="AV28" s="25"/>
      <c r="AW28" s="25"/>
      <c r="AX28" s="25"/>
      <c r="AY28" s="25"/>
      <c r="AZ28" s="25"/>
      <c r="BA28" s="25"/>
      <c r="BB28" s="25" t="s">
        <v>385</v>
      </c>
      <c r="BC28" s="25">
        <f>BD28/BD30*100</f>
        <v>7.7722270751430955E-2</v>
      </c>
      <c r="BD28" s="25">
        <f t="shared" si="14"/>
        <v>40.700000000000003</v>
      </c>
      <c r="BE28" s="25"/>
      <c r="BF28" s="25"/>
      <c r="BG28" s="25"/>
      <c r="BH28" s="25"/>
      <c r="BI28" s="25"/>
      <c r="BJ28" s="362">
        <v>40.700000000000003</v>
      </c>
      <c r="BK28" s="25"/>
      <c r="BL28" s="25"/>
      <c r="BM28" s="25"/>
      <c r="BN28" s="25"/>
      <c r="BO28" s="25"/>
      <c r="BP28" s="25"/>
      <c r="BQ28" s="25"/>
      <c r="BR28" s="25"/>
      <c r="BS28" s="25"/>
      <c r="BT28" s="25"/>
      <c r="BU28" s="25"/>
      <c r="BV28" s="25"/>
      <c r="BW28" s="25"/>
      <c r="BX28" s="25"/>
      <c r="BY28" s="25"/>
      <c r="BZ28" s="25"/>
      <c r="CA28" s="25"/>
      <c r="CB28" s="25"/>
      <c r="CC28" s="123"/>
      <c r="CD28" s="25"/>
      <c r="CE28" s="25"/>
      <c r="CF28" s="24"/>
      <c r="CG28" s="25"/>
      <c r="CH28" s="25"/>
      <c r="CI28" s="25"/>
      <c r="CJ28" s="25"/>
      <c r="CK28" s="25"/>
      <c r="CL28" s="25"/>
      <c r="CM28" s="253"/>
      <c r="CN28" s="25"/>
      <c r="CO28" s="25"/>
      <c r="CP28" s="25"/>
      <c r="CQ28" s="25"/>
      <c r="CR28" s="25"/>
      <c r="CS28" s="25"/>
      <c r="CT28" s="25"/>
      <c r="CU28" s="25"/>
      <c r="CV28" s="25"/>
      <c r="CW28" s="25"/>
      <c r="CX28" s="25"/>
      <c r="CY28" s="253"/>
      <c r="CZ28" s="25"/>
      <c r="DA28" s="25"/>
      <c r="DB28" s="25"/>
      <c r="DC28" s="25"/>
      <c r="DD28" s="25"/>
      <c r="DE28" s="25"/>
      <c r="DF28" s="25"/>
      <c r="DG28" s="25"/>
      <c r="DH28" s="25"/>
      <c r="DI28" s="25"/>
      <c r="DJ28" s="25"/>
      <c r="DK28" s="253"/>
      <c r="DL28" s="25"/>
      <c r="DM28" s="25"/>
      <c r="DN28" s="25"/>
      <c r="DO28" s="25"/>
      <c r="DP28" s="25"/>
      <c r="DQ28" s="25"/>
      <c r="DR28" s="25"/>
      <c r="DS28" s="25"/>
      <c r="DT28" s="25"/>
      <c r="DU28" s="25"/>
      <c r="DV28" s="25"/>
      <c r="DW28" s="25"/>
      <c r="DX28" s="57"/>
      <c r="DY28" s="25"/>
      <c r="DZ28" s="25"/>
      <c r="EA28" s="25"/>
      <c r="EB28" s="25"/>
      <c r="EC28" s="25"/>
      <c r="ED28" s="25"/>
      <c r="EE28" s="25"/>
      <c r="EF28" s="25"/>
      <c r="EG28" s="25"/>
      <c r="EH28" s="25"/>
      <c r="EI28" s="25"/>
      <c r="EJ28" s="25"/>
      <c r="EK28" s="25"/>
      <c r="EL28" s="25"/>
      <c r="EM28" s="25"/>
      <c r="EN28" s="25"/>
    </row>
    <row r="29" spans="1:144" ht="15.75" customHeight="1" x14ac:dyDescent="0.25">
      <c r="A29" s="25" t="s">
        <v>651</v>
      </c>
      <c r="B29" s="25">
        <f>C29/C33*100</f>
        <v>8.2329873677672888E-2</v>
      </c>
      <c r="C29" s="25">
        <f t="shared" si="0"/>
        <v>16</v>
      </c>
      <c r="D29" s="25"/>
      <c r="E29" s="25"/>
      <c r="F29" s="25"/>
      <c r="G29" s="25"/>
      <c r="H29" s="25">
        <v>16</v>
      </c>
      <c r="I29" s="25"/>
      <c r="J29" s="25"/>
      <c r="K29" s="25" t="s">
        <v>348</v>
      </c>
      <c r="L29" s="25">
        <f>M29/M35*100</f>
        <v>0.25104650089725067</v>
      </c>
      <c r="M29" s="25">
        <f t="shared" si="13"/>
        <v>57.4</v>
      </c>
      <c r="N29" s="25"/>
      <c r="O29" s="25"/>
      <c r="P29" s="25"/>
      <c r="Q29" s="25">
        <v>57.4</v>
      </c>
      <c r="R29" s="25"/>
      <c r="S29" s="25"/>
      <c r="T29" s="25"/>
      <c r="U29" s="25" t="s">
        <v>622</v>
      </c>
      <c r="V29" s="25">
        <f>W29/W34*100</f>
        <v>0.21298903010589948</v>
      </c>
      <c r="W29" s="25">
        <f t="shared" si="2"/>
        <v>53.3</v>
      </c>
      <c r="X29" s="25"/>
      <c r="Y29" s="25"/>
      <c r="Z29" s="25"/>
      <c r="AA29" s="25"/>
      <c r="AB29" s="25">
        <v>53.3</v>
      </c>
      <c r="AC29" s="25"/>
      <c r="AD29" s="25"/>
      <c r="AE29" s="63" t="s">
        <v>606</v>
      </c>
      <c r="AF29" s="25">
        <f>AG29/AG30*100</f>
        <v>0.13814436558222815</v>
      </c>
      <c r="AG29" s="25">
        <f t="shared" si="3"/>
        <v>43.9</v>
      </c>
      <c r="AH29" s="25"/>
      <c r="AI29" s="25"/>
      <c r="AJ29" s="25"/>
      <c r="AK29" s="25">
        <f>('CableSatIPTV (RV)'!E36)</f>
        <v>43.9</v>
      </c>
      <c r="AL29" s="25"/>
      <c r="AM29" s="25"/>
      <c r="AN29" s="25"/>
      <c r="AO29" s="25"/>
      <c r="AP29" s="25"/>
      <c r="AQ29" s="25"/>
      <c r="AR29" s="25"/>
      <c r="AS29" s="25"/>
      <c r="AT29" s="25"/>
      <c r="AU29" s="25"/>
      <c r="AV29" s="25"/>
      <c r="AW29" s="25"/>
      <c r="AX29" s="25"/>
      <c r="AY29" s="25"/>
      <c r="AZ29" s="25"/>
      <c r="BA29" s="25"/>
      <c r="BB29" s="25" t="s">
        <v>686</v>
      </c>
      <c r="BC29" s="25">
        <f>BD29/BD30*100</f>
        <v>6.4163840227225544E-2</v>
      </c>
      <c r="BD29" s="25">
        <f t="shared" si="14"/>
        <v>33.6</v>
      </c>
      <c r="BE29" s="25"/>
      <c r="BF29" s="25"/>
      <c r="BG29" s="25"/>
      <c r="BH29" s="25"/>
      <c r="BI29" s="25"/>
      <c r="BJ29" s="25"/>
      <c r="BK29" s="362">
        <f>('Radio (RV)'!G22)</f>
        <v>33.6</v>
      </c>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57"/>
      <c r="DY29" s="25"/>
      <c r="DZ29" s="25"/>
      <c r="EA29" s="25"/>
      <c r="EB29" s="25"/>
      <c r="EC29" s="25"/>
      <c r="ED29" s="25"/>
      <c r="EE29" s="25"/>
      <c r="EF29" s="25"/>
      <c r="EG29" s="25"/>
      <c r="EH29" s="25"/>
      <c r="EI29" s="25"/>
      <c r="EJ29" s="25"/>
      <c r="EK29" s="25"/>
      <c r="EL29" s="25"/>
      <c r="EM29" s="25"/>
      <c r="EN29" s="25"/>
    </row>
    <row r="30" spans="1:144" ht="15.75" customHeight="1" x14ac:dyDescent="0.25">
      <c r="A30" s="25" t="s">
        <v>348</v>
      </c>
      <c r="B30" s="25">
        <f>C30/C33*100</f>
        <v>0.12246568709553841</v>
      </c>
      <c r="C30" s="25">
        <f t="shared" si="0"/>
        <v>23.8</v>
      </c>
      <c r="D30" s="25"/>
      <c r="E30" s="25"/>
      <c r="F30" s="25"/>
      <c r="G30" s="25">
        <v>23.8</v>
      </c>
      <c r="H30" s="25"/>
      <c r="I30" s="25"/>
      <c r="J30" s="25"/>
      <c r="K30" s="25" t="s">
        <v>622</v>
      </c>
      <c r="L30" s="25">
        <f>M30/M35*100</f>
        <v>0.2754736310398847</v>
      </c>
      <c r="M30" s="25">
        <f t="shared" si="13"/>
        <v>62.985089874489255</v>
      </c>
      <c r="N30" s="25"/>
      <c r="O30" s="25"/>
      <c r="P30" s="25"/>
      <c r="Q30" s="25"/>
      <c r="R30" s="25">
        <f>('Newspaper (RV)'!C23)</f>
        <v>62.985089874489255</v>
      </c>
      <c r="S30" s="25"/>
      <c r="T30" s="25"/>
      <c r="U30" s="25" t="s">
        <v>419</v>
      </c>
      <c r="V30" s="25">
        <f>W30/W34*100</f>
        <v>0.27892372047639369</v>
      </c>
      <c r="W30" s="25">
        <f t="shared" si="2"/>
        <v>69.8</v>
      </c>
      <c r="X30" s="25"/>
      <c r="Y30" s="25"/>
      <c r="Z30" s="25">
        <v>28.7</v>
      </c>
      <c r="AA30" s="25">
        <v>15.1</v>
      </c>
      <c r="AB30" s="25"/>
      <c r="AC30" s="25">
        <v>26</v>
      </c>
      <c r="AD30" s="25"/>
      <c r="AE30" s="56" t="s">
        <v>92</v>
      </c>
      <c r="AF30" s="56"/>
      <c r="AG30" s="56">
        <f t="shared" si="3"/>
        <v>31778.350000000002</v>
      </c>
      <c r="AH30" s="56">
        <v>17900</v>
      </c>
      <c r="AI30" s="56">
        <f>('Wireless (RV)'!E21)</f>
        <v>2175</v>
      </c>
      <c r="AJ30" s="56">
        <f>('ISPs (RV)'!B41)</f>
        <v>239</v>
      </c>
      <c r="AK30" s="56">
        <f>('CableSatIPTV (RV)'!E47)</f>
        <v>2677.4</v>
      </c>
      <c r="AL30" s="56">
        <f>('Total TV Universe (RV)'!F48)</f>
        <v>3366.7040000000002</v>
      </c>
      <c r="AM30" s="56">
        <f>('Magazines (RV)'!E39)+('Newspaper (RV)'!E42)</f>
        <v>4321.2</v>
      </c>
      <c r="AN30" s="56">
        <f>('Radio (RV)'!E30)</f>
        <v>1099.046</v>
      </c>
      <c r="AO30" s="25"/>
      <c r="AP30" s="25"/>
      <c r="AQ30" s="25"/>
      <c r="AR30" s="25"/>
      <c r="AS30" s="25"/>
      <c r="AT30" s="25"/>
      <c r="AU30" s="25"/>
      <c r="AV30" s="25"/>
      <c r="AW30" s="25"/>
      <c r="AX30" s="25"/>
      <c r="AY30" s="25"/>
      <c r="AZ30" s="25"/>
      <c r="BA30" s="25"/>
      <c r="BB30" s="56" t="s">
        <v>92</v>
      </c>
      <c r="BC30" s="56"/>
      <c r="BD30" s="56">
        <f t="shared" si="14"/>
        <v>52365.942999999999</v>
      </c>
      <c r="BE30" s="42">
        <v>19800</v>
      </c>
      <c r="BF30" s="525">
        <f>('Wireless (RV)'!G21)</f>
        <v>9200</v>
      </c>
      <c r="BG30" s="56">
        <f>('ISPs (RV)'!D41)</f>
        <v>4200</v>
      </c>
      <c r="BH30" s="56">
        <f>('CableSatIPTV (RV)'!G47)</f>
        <v>5039.3999999999996</v>
      </c>
      <c r="BI30" s="56">
        <v>5297.5</v>
      </c>
      <c r="BJ30" s="56">
        <f>('Magazines (RV)'!G39)+('Newspaper (RV)'!G42)</f>
        <v>6881</v>
      </c>
      <c r="BK30" s="56">
        <f>('Radio (RV)'!G30)</f>
        <v>1583.0429999999999</v>
      </c>
      <c r="BL30" s="56">
        <v>365</v>
      </c>
      <c r="BM30" s="25"/>
      <c r="BN30" s="25"/>
      <c r="BO30" s="25"/>
      <c r="BP30" s="25"/>
      <c r="BQ30" s="40"/>
      <c r="BR30" s="40"/>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40"/>
      <c r="DC30" s="25"/>
      <c r="DD30" s="25"/>
      <c r="DE30" s="25"/>
      <c r="DF30" s="25"/>
      <c r="DG30" s="25"/>
      <c r="DH30" s="25"/>
      <c r="DI30" s="25"/>
      <c r="DJ30" s="25"/>
      <c r="DK30" s="25"/>
      <c r="DL30" s="25"/>
      <c r="DM30" s="25"/>
      <c r="DN30" s="40"/>
      <c r="DO30" s="25"/>
      <c r="DP30" s="25"/>
      <c r="DQ30" s="25"/>
      <c r="DR30" s="25"/>
      <c r="DS30" s="25"/>
      <c r="DT30" s="25"/>
      <c r="DU30" s="25"/>
      <c r="DV30" s="25"/>
      <c r="DW30" s="25"/>
      <c r="DX30" s="57"/>
      <c r="DY30" s="25"/>
      <c r="DZ30" s="25"/>
      <c r="EA30" s="25"/>
      <c r="EB30" s="25"/>
      <c r="EC30" s="25"/>
      <c r="ED30" s="25"/>
      <c r="EE30" s="25"/>
      <c r="EF30" s="25"/>
      <c r="EG30" s="25"/>
      <c r="EH30" s="25"/>
      <c r="EI30" s="25"/>
      <c r="EJ30" s="25"/>
      <c r="EK30" s="25"/>
      <c r="EL30" s="25"/>
      <c r="EM30" s="25"/>
      <c r="EN30" s="25"/>
    </row>
    <row r="31" spans="1:144" ht="15.75" customHeight="1" x14ac:dyDescent="0.25">
      <c r="A31" s="25" t="s">
        <v>512</v>
      </c>
      <c r="B31" s="25">
        <f>C31/C33*100</f>
        <v>8.2329873677672888E-2</v>
      </c>
      <c r="C31" s="25">
        <f t="shared" si="0"/>
        <v>16</v>
      </c>
      <c r="D31" s="25"/>
      <c r="E31" s="25"/>
      <c r="F31" s="25"/>
      <c r="G31" s="25"/>
      <c r="H31" s="25">
        <v>16</v>
      </c>
      <c r="I31" s="25"/>
      <c r="J31" s="25"/>
      <c r="K31" s="25" t="s">
        <v>20</v>
      </c>
      <c r="L31" s="25">
        <f>M31/M35*100</f>
        <v>0.11240235318918715</v>
      </c>
      <c r="M31" s="25">
        <f t="shared" si="13"/>
        <v>25.7</v>
      </c>
      <c r="N31" s="25"/>
      <c r="O31" s="25"/>
      <c r="P31" s="25">
        <f>('CableSatIPTV (RV)'!C33)</f>
        <v>25.7</v>
      </c>
      <c r="Q31" s="25"/>
      <c r="R31" s="25"/>
      <c r="S31" s="25"/>
      <c r="T31" s="25"/>
      <c r="U31" s="25" t="s">
        <v>635</v>
      </c>
      <c r="V31" s="25">
        <f>W31/W34*100</f>
        <v>0.23376844767720675</v>
      </c>
      <c r="W31" s="25">
        <f t="shared" si="2"/>
        <v>58.5</v>
      </c>
      <c r="X31" s="25"/>
      <c r="Y31" s="25"/>
      <c r="Z31" s="25"/>
      <c r="AA31" s="25"/>
      <c r="AB31" s="25">
        <v>58.5</v>
      </c>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123"/>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row>
    <row r="32" spans="1:144" ht="15.75" customHeight="1" x14ac:dyDescent="0.25">
      <c r="A32" s="25" t="s">
        <v>20</v>
      </c>
      <c r="B32" s="25">
        <f>C32/C33*100</f>
        <v>2.4698962103301865E-2</v>
      </c>
      <c r="C32" s="25">
        <f t="shared" si="0"/>
        <v>4.8</v>
      </c>
      <c r="D32" s="25"/>
      <c r="E32" s="25"/>
      <c r="F32" s="25">
        <f>('CableSatIPTV (RV)'!B33)</f>
        <v>4.8</v>
      </c>
      <c r="G32" s="25"/>
      <c r="H32" s="25"/>
      <c r="I32" s="25"/>
      <c r="J32" s="25"/>
      <c r="K32" s="25" t="s">
        <v>636</v>
      </c>
      <c r="L32" s="25">
        <f>M32/M35*100</f>
        <v>0.1360199682561759</v>
      </c>
      <c r="M32" s="25">
        <f t="shared" si="13"/>
        <v>31.1</v>
      </c>
      <c r="N32" s="25"/>
      <c r="O32" s="25"/>
      <c r="P32" s="25"/>
      <c r="Q32" s="25">
        <v>31.1</v>
      </c>
      <c r="R32" s="25"/>
      <c r="S32" s="25"/>
      <c r="T32" s="25"/>
      <c r="U32" s="25" t="s">
        <v>348</v>
      </c>
      <c r="V32" s="25">
        <f>W32/W34*100</f>
        <v>0.2449573648309876</v>
      </c>
      <c r="W32" s="25">
        <f t="shared" si="2"/>
        <v>61.3</v>
      </c>
      <c r="X32" s="25"/>
      <c r="Y32" s="25"/>
      <c r="Z32" s="25"/>
      <c r="AA32" s="25">
        <v>61.3</v>
      </c>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40"/>
      <c r="CD32" s="40"/>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row>
    <row r="33" spans="1:144" ht="15.75" customHeight="1" x14ac:dyDescent="0.25">
      <c r="A33" s="56" t="s">
        <v>92</v>
      </c>
      <c r="B33" s="56"/>
      <c r="C33" s="56">
        <f t="shared" si="0"/>
        <v>19434.014999999999</v>
      </c>
      <c r="D33" s="42">
        <v>12787</v>
      </c>
      <c r="E33" s="525">
        <f>('Wireless (RV)'!B21)</f>
        <v>321</v>
      </c>
      <c r="F33" s="619">
        <f>('CableSatIPTV (RV)'!B47)</f>
        <v>716.3</v>
      </c>
      <c r="G33" s="619">
        <f>('Total TV Universe (RV)'!B48)</f>
        <v>1837.8150000000001</v>
      </c>
      <c r="H33" s="56">
        <f>('Magazines (RV)'!B39)+('Newspaper (RV)'!B42)</f>
        <v>2961</v>
      </c>
      <c r="I33" s="56">
        <f>('Radio (RV)'!B30)</f>
        <v>810.90000000000009</v>
      </c>
      <c r="J33" s="25"/>
      <c r="K33" s="25" t="s">
        <v>651</v>
      </c>
      <c r="L33" s="25">
        <f>M33/M35*100</f>
        <v>9.5952465613408505E-2</v>
      </c>
      <c r="M33" s="25">
        <f t="shared" si="13"/>
        <v>21.938849999999999</v>
      </c>
      <c r="N33" s="25"/>
      <c r="O33" s="25"/>
      <c r="P33" s="25"/>
      <c r="Q33" s="25"/>
      <c r="R33" s="25">
        <f>('Newspaper (RV)'!C29)</f>
        <v>21.938849999999999</v>
      </c>
      <c r="S33" s="25"/>
      <c r="T33" s="25"/>
      <c r="U33" s="25" t="s">
        <v>651</v>
      </c>
      <c r="V33" s="25">
        <f>W33/W34*100</f>
        <v>7.9920836812720261E-2</v>
      </c>
      <c r="W33" s="25">
        <f t="shared" si="2"/>
        <v>20</v>
      </c>
      <c r="X33" s="25"/>
      <c r="Y33" s="25"/>
      <c r="Z33" s="25"/>
      <c r="AA33" s="25"/>
      <c r="AB33" s="25">
        <v>20</v>
      </c>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1"/>
      <c r="BH33" s="25"/>
      <c r="BI33" s="25"/>
      <c r="BJ33" s="25"/>
      <c r="BK33" s="25"/>
      <c r="BL33" s="25"/>
      <c r="BM33" s="25"/>
      <c r="BN33" s="25"/>
      <c r="BO33" s="25"/>
      <c r="BP33" s="25"/>
      <c r="BQ33" s="25"/>
      <c r="BR33" s="25"/>
      <c r="BS33" s="25"/>
      <c r="BT33" s="25"/>
      <c r="BU33" s="25"/>
      <c r="BV33" s="21"/>
      <c r="BW33" s="21"/>
      <c r="BX33" s="21"/>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row>
    <row r="34" spans="1:144" ht="15.75" customHeight="1" x14ac:dyDescent="0.25">
      <c r="A34" s="25"/>
      <c r="B34" s="25"/>
      <c r="C34" s="25"/>
      <c r="D34" s="25"/>
      <c r="E34" s="25"/>
      <c r="F34" s="25"/>
      <c r="G34" s="25"/>
      <c r="H34" s="25"/>
      <c r="I34" s="25"/>
      <c r="J34" s="25"/>
      <c r="K34" s="25" t="s">
        <v>269</v>
      </c>
      <c r="L34" s="25">
        <f>M34/M35*100</f>
        <v>8.7910011638235863E-2</v>
      </c>
      <c r="M34" s="25">
        <f t="shared" si="13"/>
        <v>20.100000000000001</v>
      </c>
      <c r="N34" s="25"/>
      <c r="O34" s="25"/>
      <c r="P34" s="25"/>
      <c r="Q34" s="25">
        <f>('Total TV Universe (RV)'!C4)</f>
        <v>20.100000000000001</v>
      </c>
      <c r="R34" s="25"/>
      <c r="S34" s="25"/>
      <c r="T34" s="25"/>
      <c r="U34" s="56" t="s">
        <v>92</v>
      </c>
      <c r="V34" s="56"/>
      <c r="W34" s="56">
        <f t="shared" si="2"/>
        <v>25024.763000000003</v>
      </c>
      <c r="X34" s="56">
        <v>14700</v>
      </c>
      <c r="Y34" s="56">
        <f>('Wireless (RV)'!D21)</f>
        <v>931</v>
      </c>
      <c r="Z34" s="56">
        <f>('CableSatIPTV (RV)'!D47)</f>
        <v>1651.4</v>
      </c>
      <c r="AA34" s="619">
        <f>('Total TV Universe (RV)'!E48)</f>
        <v>2920.3240000000005</v>
      </c>
      <c r="AB34" s="56">
        <f>('Magazines (RV)'!D39)+('Newspaper (RV)'!D42)</f>
        <v>3783.9</v>
      </c>
      <c r="AC34" s="56">
        <f>('Radio (RV)'!D30)</f>
        <v>1038.1389999999999</v>
      </c>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574"/>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row>
    <row r="35" spans="1:144" ht="15.75" customHeight="1" x14ac:dyDescent="0.25">
      <c r="A35" s="25"/>
      <c r="B35" s="25"/>
      <c r="C35" s="25"/>
      <c r="D35" s="25"/>
      <c r="E35" s="25"/>
      <c r="F35" s="25"/>
      <c r="G35" s="25"/>
      <c r="H35" s="25"/>
      <c r="I35" s="25"/>
      <c r="J35" s="25"/>
      <c r="K35" s="56" t="s">
        <v>92</v>
      </c>
      <c r="L35" s="56"/>
      <c r="M35" s="56">
        <f t="shared" si="13"/>
        <v>22864.29</v>
      </c>
      <c r="N35" s="42">
        <v>14007</v>
      </c>
      <c r="O35" s="525">
        <f>('Wireless (RV)'!C21)</f>
        <v>565.20000000000005</v>
      </c>
      <c r="P35" s="619">
        <f>('CableSatIPTV (RV)'!C47)</f>
        <v>1242.9000000000001</v>
      </c>
      <c r="Q35" s="619">
        <f>('Total TV Universe (RV)'!C48)</f>
        <v>2349.5830000000001</v>
      </c>
      <c r="R35" s="56">
        <f>('Magazines (RV)'!C39)+('Newspaper (RV)'!C42)</f>
        <v>3700</v>
      </c>
      <c r="S35" s="56">
        <f>('Radio (RV)'!C30)</f>
        <v>999.60699999999997</v>
      </c>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40"/>
      <c r="AT35" s="40"/>
      <c r="AU35" s="25"/>
      <c r="AV35" s="25"/>
      <c r="AW35" s="25"/>
      <c r="AX35" s="25"/>
      <c r="AY35" s="25"/>
      <c r="AZ35" s="25"/>
      <c r="BA35" s="25"/>
      <c r="BB35" s="25"/>
      <c r="BC35" s="25"/>
      <c r="BD35" s="25"/>
      <c r="BE35" s="25"/>
      <c r="BF35" s="25"/>
      <c r="BG35" s="25"/>
      <c r="BH35" s="25"/>
      <c r="BI35" s="25"/>
      <c r="BJ35" s="25"/>
      <c r="BK35" s="25"/>
      <c r="BL35" s="25"/>
      <c r="BM35" s="25"/>
      <c r="BN35" s="559"/>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row>
    <row r="36" spans="1:144" ht="15.75" customHeight="1" x14ac:dyDescent="0.25">
      <c r="A36" s="25"/>
      <c r="B36" s="25"/>
      <c r="C36" s="25"/>
      <c r="D36" s="25"/>
      <c r="E36" s="25"/>
      <c r="F36" s="25"/>
      <c r="G36" s="25"/>
      <c r="H36" s="25"/>
      <c r="I36" s="25"/>
      <c r="J36" s="25"/>
      <c r="K36" s="25"/>
      <c r="L36" s="25"/>
      <c r="M36" s="25"/>
      <c r="N36" s="11"/>
      <c r="O36" s="40"/>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40"/>
      <c r="AT36" s="40"/>
      <c r="AU36" s="25"/>
      <c r="AV36" s="25"/>
      <c r="AW36" s="25"/>
      <c r="AX36" s="25"/>
      <c r="AY36" s="25"/>
      <c r="AZ36" s="25"/>
      <c r="BA36" s="25"/>
      <c r="BB36" s="25"/>
      <c r="BC36" s="25"/>
      <c r="BD36" s="25"/>
      <c r="BE36" s="40"/>
      <c r="BF36" s="40"/>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row>
    <row r="37" spans="1:144" ht="15.75" customHeight="1" x14ac:dyDescent="0.25">
      <c r="A37" s="25"/>
      <c r="B37" s="25"/>
      <c r="C37" s="25"/>
      <c r="D37" s="25"/>
      <c r="E37" s="25"/>
      <c r="F37" s="25"/>
      <c r="G37" s="25"/>
      <c r="H37" s="25"/>
      <c r="I37" s="25"/>
      <c r="J37" s="25"/>
      <c r="K37" s="25"/>
      <c r="L37" s="25"/>
      <c r="M37" s="25"/>
      <c r="N37" s="11"/>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40"/>
      <c r="BF37" s="40"/>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row>
    <row r="38" spans="1:144" ht="15.75" customHeight="1" x14ac:dyDescent="0.25">
      <c r="A38" s="12">
        <v>1984</v>
      </c>
      <c r="B38" s="25"/>
      <c r="C38" s="25"/>
      <c r="D38" s="25"/>
      <c r="E38" s="25"/>
      <c r="F38" s="25"/>
      <c r="G38" s="25"/>
      <c r="H38" s="25"/>
      <c r="I38" s="25"/>
      <c r="J38" s="25"/>
      <c r="K38" s="12">
        <v>1988</v>
      </c>
      <c r="L38" s="25"/>
      <c r="M38" s="25"/>
      <c r="N38" s="25"/>
      <c r="O38" s="25"/>
      <c r="P38" s="25"/>
      <c r="Q38" s="25"/>
      <c r="R38" s="25"/>
      <c r="S38" s="25"/>
      <c r="T38" s="25"/>
      <c r="U38" s="12">
        <v>1992</v>
      </c>
      <c r="V38" s="25"/>
      <c r="W38" s="25"/>
      <c r="X38" s="25"/>
      <c r="Y38" s="25"/>
      <c r="Z38" s="25"/>
      <c r="AA38" s="25"/>
      <c r="AB38" s="25"/>
      <c r="AC38" s="25"/>
      <c r="AD38" s="25"/>
      <c r="AE38" s="12">
        <v>1996</v>
      </c>
      <c r="AF38" s="88"/>
      <c r="AG38" s="25"/>
      <c r="AH38" s="25"/>
      <c r="AI38" s="25"/>
      <c r="AJ38" s="25"/>
      <c r="AK38" s="25"/>
      <c r="AL38" s="25"/>
      <c r="AM38" s="25"/>
      <c r="AN38" s="25"/>
      <c r="AO38" s="25"/>
      <c r="AP38" s="12">
        <v>2000</v>
      </c>
      <c r="AQ38" s="88"/>
      <c r="AR38" s="25"/>
      <c r="AS38" s="25"/>
      <c r="AT38" s="25"/>
      <c r="AU38" s="25"/>
      <c r="AV38" s="25"/>
      <c r="AW38" s="25"/>
      <c r="AX38" s="25"/>
      <c r="AY38" s="25"/>
      <c r="AZ38" s="25"/>
      <c r="BA38" s="25"/>
      <c r="BB38" s="10">
        <v>2004</v>
      </c>
      <c r="BC38" s="88"/>
      <c r="BD38" s="25"/>
      <c r="BE38" s="25"/>
      <c r="BF38" s="25"/>
      <c r="BG38" s="25"/>
      <c r="BH38" s="25"/>
      <c r="BI38" s="25"/>
      <c r="BJ38" s="25"/>
      <c r="BK38" s="25"/>
      <c r="BL38" s="25"/>
      <c r="BM38" s="25"/>
      <c r="BN38" s="10">
        <v>2008</v>
      </c>
      <c r="BO38" s="88"/>
      <c r="BP38" s="25"/>
      <c r="BQ38" s="25"/>
      <c r="BR38" s="25"/>
      <c r="BS38" s="25"/>
      <c r="BT38" s="25"/>
      <c r="BU38" s="25"/>
      <c r="BV38" s="25"/>
      <c r="BW38" s="25"/>
      <c r="BX38" s="25"/>
      <c r="BY38" s="25"/>
      <c r="BZ38" s="10">
        <v>2010</v>
      </c>
      <c r="CA38" s="88"/>
      <c r="CB38" s="25"/>
      <c r="CC38" s="25"/>
      <c r="CD38" s="25"/>
      <c r="CE38" s="25"/>
      <c r="CF38" s="25"/>
      <c r="CG38" s="25"/>
      <c r="CH38" s="25"/>
      <c r="CI38" s="25"/>
      <c r="CJ38" s="25"/>
      <c r="CK38" s="25"/>
      <c r="CL38" s="10">
        <v>2011</v>
      </c>
      <c r="CM38" s="88"/>
      <c r="CN38" s="25"/>
      <c r="CO38" s="25"/>
      <c r="CP38" s="25"/>
      <c r="CQ38" s="25"/>
      <c r="CR38" s="25"/>
      <c r="CS38" s="25"/>
      <c r="CT38" s="25"/>
      <c r="CU38" s="25"/>
      <c r="CV38" s="25"/>
      <c r="CW38" s="25"/>
      <c r="CX38" s="10">
        <v>2012</v>
      </c>
      <c r="CY38" s="88"/>
      <c r="CZ38" s="25"/>
      <c r="DA38" s="25"/>
      <c r="DB38" s="25"/>
      <c r="DC38" s="25"/>
      <c r="DD38" s="25"/>
      <c r="DE38" s="25"/>
      <c r="DF38" s="25"/>
      <c r="DG38" s="25"/>
      <c r="DH38" s="25"/>
      <c r="DI38" s="25"/>
      <c r="DJ38" s="10">
        <v>2013</v>
      </c>
      <c r="DK38" s="88"/>
      <c r="DL38" s="25"/>
      <c r="DM38" s="25"/>
      <c r="DN38" s="25"/>
      <c r="DO38" s="25"/>
      <c r="DP38" s="25"/>
      <c r="DQ38" s="25"/>
      <c r="DR38" s="25"/>
      <c r="DS38" s="25"/>
      <c r="DT38" s="25"/>
      <c r="DU38" s="25"/>
      <c r="DV38" s="25"/>
      <c r="DW38" s="10">
        <v>2014</v>
      </c>
      <c r="DX38" s="88"/>
      <c r="DY38" s="25"/>
      <c r="DZ38" s="25"/>
      <c r="EA38" s="25"/>
      <c r="EB38" s="25"/>
      <c r="EC38" s="25"/>
      <c r="ED38" s="25"/>
      <c r="EE38" s="25"/>
      <c r="EF38" s="25"/>
      <c r="EG38" s="25"/>
      <c r="EH38" s="25"/>
      <c r="EI38" s="25"/>
      <c r="EJ38" s="25"/>
      <c r="EK38" s="25"/>
      <c r="EL38" s="25"/>
      <c r="EM38" s="25"/>
      <c r="EN38" s="25"/>
    </row>
    <row r="39" spans="1:144" ht="15.75" customHeight="1" x14ac:dyDescent="0.25">
      <c r="A39" s="10" t="s">
        <v>674</v>
      </c>
      <c r="B39" s="40">
        <f>C33</f>
        <v>19434.014999999999</v>
      </c>
      <c r="C39" s="88"/>
      <c r="D39" s="88"/>
      <c r="E39" s="88"/>
      <c r="F39" s="88"/>
      <c r="G39" s="88"/>
      <c r="H39" s="88"/>
      <c r="I39" s="88"/>
      <c r="J39" s="88"/>
      <c r="K39" s="10" t="s">
        <v>674</v>
      </c>
      <c r="L39" s="40">
        <f>M35</f>
        <v>22864.29</v>
      </c>
      <c r="M39" s="88"/>
      <c r="N39" s="620"/>
      <c r="O39" s="620"/>
      <c r="P39" s="88"/>
      <c r="Q39" s="88"/>
      <c r="R39" s="88"/>
      <c r="S39" s="88"/>
      <c r="T39" s="88"/>
      <c r="U39" s="10" t="s">
        <v>674</v>
      </c>
      <c r="V39" s="40">
        <f>W34</f>
        <v>25024.763000000003</v>
      </c>
      <c r="W39" s="88"/>
      <c r="X39" s="88"/>
      <c r="Y39" s="88"/>
      <c r="Z39" s="88"/>
      <c r="AA39" s="88"/>
      <c r="AB39" s="88"/>
      <c r="AC39" s="88"/>
      <c r="AD39" s="88"/>
      <c r="AE39" s="56" t="s">
        <v>674</v>
      </c>
      <c r="AF39" s="40">
        <f>AG30</f>
        <v>31778.350000000002</v>
      </c>
      <c r="AG39" s="88"/>
      <c r="AH39" s="620"/>
      <c r="AI39" s="620"/>
      <c r="AJ39" s="88"/>
      <c r="AK39" s="88"/>
      <c r="AL39" s="88"/>
      <c r="AM39" s="88"/>
      <c r="AN39" s="88"/>
      <c r="AO39" s="88"/>
      <c r="AP39" s="56" t="s">
        <v>674</v>
      </c>
      <c r="AQ39" s="25">
        <f>AR27</f>
        <v>44271.974000000002</v>
      </c>
      <c r="AR39" s="88"/>
      <c r="AS39" s="88"/>
      <c r="AT39" s="88"/>
      <c r="AU39" s="88"/>
      <c r="AV39" s="88"/>
      <c r="AW39" s="88"/>
      <c r="AX39" s="88"/>
      <c r="AY39" s="88"/>
      <c r="AZ39" s="88"/>
      <c r="BA39" s="88"/>
      <c r="BB39" s="56" t="s">
        <v>674</v>
      </c>
      <c r="BC39" s="40">
        <f>BD30</f>
        <v>52365.942999999999</v>
      </c>
      <c r="BD39" s="88"/>
      <c r="BE39" s="88"/>
      <c r="BF39" s="88"/>
      <c r="BG39" s="88"/>
      <c r="BH39" s="88"/>
      <c r="BI39" s="88"/>
      <c r="BJ39" s="88"/>
      <c r="BK39" s="88"/>
      <c r="BL39" s="88"/>
      <c r="BM39" s="88"/>
      <c r="BN39" s="56" t="s">
        <v>674</v>
      </c>
      <c r="BO39" s="40">
        <f>BP18</f>
        <v>65166.727999999996</v>
      </c>
      <c r="BP39" s="88"/>
      <c r="BQ39" s="88"/>
      <c r="BR39" s="88"/>
      <c r="BS39" s="88"/>
      <c r="BT39" s="88"/>
      <c r="BU39" s="88"/>
      <c r="BV39" s="88"/>
      <c r="BW39" s="88"/>
      <c r="BX39" s="88"/>
      <c r="BY39" s="88"/>
      <c r="BZ39" s="56" t="s">
        <v>674</v>
      </c>
      <c r="CA39" s="123">
        <f>CB17</f>
        <v>67934.10500000001</v>
      </c>
      <c r="CB39" s="88"/>
      <c r="CC39" s="88"/>
      <c r="CD39" s="88"/>
      <c r="CE39" s="88"/>
      <c r="CF39" s="88"/>
      <c r="CG39" s="88"/>
      <c r="CH39" s="88"/>
      <c r="CI39" s="88"/>
      <c r="CJ39" s="88"/>
      <c r="CK39" s="88"/>
      <c r="CL39" s="56" t="s">
        <v>674</v>
      </c>
      <c r="CM39" s="25">
        <f>CN20</f>
        <v>70343.312000000005</v>
      </c>
      <c r="CN39" s="88"/>
      <c r="CO39" s="88"/>
      <c r="CP39" s="88"/>
      <c r="CQ39" s="88"/>
      <c r="CR39" s="88"/>
      <c r="CS39" s="88"/>
      <c r="CT39" s="88"/>
      <c r="CU39" s="88"/>
      <c r="CV39" s="88"/>
      <c r="CW39" s="88"/>
      <c r="CX39" s="56" t="s">
        <v>674</v>
      </c>
      <c r="CY39" s="25">
        <f>CZ20</f>
        <v>71789.697999999989</v>
      </c>
      <c r="CZ39" s="88"/>
      <c r="DA39" s="88"/>
      <c r="DB39" s="88"/>
      <c r="DC39" s="88"/>
      <c r="DD39" s="88"/>
      <c r="DE39" s="88"/>
      <c r="DF39" s="88"/>
      <c r="DG39" s="88"/>
      <c r="DH39" s="88"/>
      <c r="DI39" s="88"/>
      <c r="DJ39" s="56" t="s">
        <v>674</v>
      </c>
      <c r="DK39" s="25">
        <f>DL19</f>
        <v>73027.112471342567</v>
      </c>
      <c r="DL39" s="88"/>
      <c r="DM39" s="88"/>
      <c r="DN39" s="88"/>
      <c r="DO39" s="88"/>
      <c r="DP39" s="88"/>
      <c r="DQ39" s="88"/>
      <c r="DR39" s="88"/>
      <c r="DS39" s="88"/>
      <c r="DT39" s="88"/>
      <c r="DU39" s="88"/>
      <c r="DV39" s="88"/>
      <c r="DW39" s="56" t="s">
        <v>674</v>
      </c>
      <c r="DX39" s="57">
        <f>DY19</f>
        <v>73700.645789000002</v>
      </c>
      <c r="DY39" s="88"/>
      <c r="DZ39" s="88"/>
      <c r="EA39" s="88"/>
      <c r="EB39" s="88"/>
      <c r="EC39" s="88"/>
      <c r="ED39" s="88"/>
      <c r="EE39" s="88"/>
      <c r="EF39" s="88"/>
      <c r="EG39" s="88"/>
      <c r="EH39" s="88"/>
      <c r="EI39" s="88"/>
      <c r="EJ39" s="88"/>
      <c r="EK39" s="88"/>
      <c r="EL39" s="88"/>
      <c r="EM39" s="88"/>
      <c r="EN39" s="88"/>
    </row>
    <row r="40" spans="1:144" ht="15.75" customHeight="1" x14ac:dyDescent="0.25">
      <c r="A40" s="367" t="s">
        <v>604</v>
      </c>
      <c r="B40" s="25">
        <f>B2</f>
        <v>46.753077014708488</v>
      </c>
      <c r="C40" s="25"/>
      <c r="D40" s="25"/>
      <c r="E40" s="25"/>
      <c r="F40" s="25"/>
      <c r="G40" s="25"/>
      <c r="H40" s="25"/>
      <c r="I40" s="25"/>
      <c r="J40" s="25"/>
      <c r="K40" s="367" t="s">
        <v>604</v>
      </c>
      <c r="L40" s="25">
        <f>L2</f>
        <v>41.273531782530746</v>
      </c>
      <c r="M40" s="25"/>
      <c r="N40" s="25"/>
      <c r="O40" s="25"/>
      <c r="P40" s="25"/>
      <c r="Q40" s="25"/>
      <c r="R40" s="25"/>
      <c r="S40" s="25"/>
      <c r="T40" s="25"/>
      <c r="U40" s="367" t="s">
        <v>604</v>
      </c>
      <c r="V40" s="25">
        <f>V2</f>
        <v>39.787789398844644</v>
      </c>
      <c r="W40" s="25"/>
      <c r="X40" s="25"/>
      <c r="Y40" s="25"/>
      <c r="Z40" s="25"/>
      <c r="AA40" s="25"/>
      <c r="AB40" s="25"/>
      <c r="AC40" s="25"/>
      <c r="AD40" s="25"/>
      <c r="AE40" s="367" t="s">
        <v>604</v>
      </c>
      <c r="AF40" s="25">
        <f>AF2</f>
        <v>34.60909707395129</v>
      </c>
      <c r="AG40" s="25"/>
      <c r="AH40" s="25"/>
      <c r="AI40" s="25"/>
      <c r="AJ40" s="25"/>
      <c r="AK40" s="25"/>
      <c r="AL40" s="25"/>
      <c r="AM40" s="25"/>
      <c r="AN40" s="25"/>
      <c r="AO40" s="25"/>
      <c r="AP40" s="367" t="s">
        <v>604</v>
      </c>
      <c r="AQ40" s="25">
        <f>AQ2</f>
        <v>34.215325478823239</v>
      </c>
      <c r="AR40" s="25"/>
      <c r="AS40" s="25"/>
      <c r="AT40" s="25"/>
      <c r="AU40" s="25"/>
      <c r="AV40" s="25"/>
      <c r="AW40" s="25"/>
      <c r="AX40" s="25"/>
      <c r="AY40" s="25"/>
      <c r="AZ40" s="25"/>
      <c r="BA40" s="25"/>
      <c r="BB40" s="367" t="s">
        <v>604</v>
      </c>
      <c r="BC40" s="25">
        <f>BC2</f>
        <v>30.93269990382872</v>
      </c>
      <c r="BD40" s="25"/>
      <c r="BE40" s="25"/>
      <c r="BF40" s="25"/>
      <c r="BG40" s="25"/>
      <c r="BH40" s="25"/>
      <c r="BI40" s="25"/>
      <c r="BJ40" s="25"/>
      <c r="BK40" s="25"/>
      <c r="BL40" s="25"/>
      <c r="BM40" s="25"/>
      <c r="BN40" s="621" t="s">
        <v>604</v>
      </c>
      <c r="BO40" s="25">
        <f>BO2</f>
        <v>26.795729256193436</v>
      </c>
      <c r="BP40" s="25"/>
      <c r="BQ40" s="25"/>
      <c r="BR40" s="25"/>
      <c r="BS40" s="25"/>
      <c r="BT40" s="25"/>
      <c r="BU40" s="25"/>
      <c r="BV40" s="25"/>
      <c r="BW40" s="25"/>
      <c r="BX40" s="25"/>
      <c r="BY40" s="25"/>
      <c r="BZ40" s="530" t="s">
        <v>604</v>
      </c>
      <c r="CA40" s="25">
        <f>CA2</f>
        <v>25.447306621615162</v>
      </c>
      <c r="CB40" s="25"/>
      <c r="CC40" s="25"/>
      <c r="CD40" s="25"/>
      <c r="CE40" s="25"/>
      <c r="CF40" s="25"/>
      <c r="CG40" s="25"/>
      <c r="CH40" s="25"/>
      <c r="CI40" s="25"/>
      <c r="CJ40" s="25"/>
      <c r="CK40" s="25"/>
      <c r="CL40" s="530" t="s">
        <v>604</v>
      </c>
      <c r="CM40" s="25">
        <f>CM2</f>
        <v>27.86320325662232</v>
      </c>
      <c r="CN40" s="25"/>
      <c r="CO40" s="25"/>
      <c r="CP40" s="25"/>
      <c r="CQ40" s="25"/>
      <c r="CR40" s="25"/>
      <c r="CS40" s="25"/>
      <c r="CT40" s="25"/>
      <c r="CU40" s="25"/>
      <c r="CV40" s="25"/>
      <c r="CW40" s="25"/>
      <c r="CX40" s="367" t="s">
        <v>604</v>
      </c>
      <c r="CY40" s="25">
        <f>CY2</f>
        <v>27.433414186050392</v>
      </c>
      <c r="CZ40" s="25"/>
      <c r="DA40" s="25"/>
      <c r="DB40" s="25"/>
      <c r="DC40" s="25"/>
      <c r="DD40" s="25"/>
      <c r="DE40" s="25"/>
      <c r="DF40" s="25"/>
      <c r="DG40" s="25"/>
      <c r="DH40" s="25"/>
      <c r="DI40" s="25"/>
      <c r="DJ40" s="367" t="s">
        <v>604</v>
      </c>
      <c r="DK40" s="25">
        <f>DK2</f>
        <v>27.985851156335983</v>
      </c>
      <c r="DL40" s="25"/>
      <c r="DM40" s="25"/>
      <c r="DN40" s="25"/>
      <c r="DO40" s="25"/>
      <c r="DP40" s="25"/>
      <c r="DQ40" s="25"/>
      <c r="DR40" s="25"/>
      <c r="DS40" s="25"/>
      <c r="DT40" s="25"/>
      <c r="DU40" s="25"/>
      <c r="DV40" s="25"/>
      <c r="DW40" s="367" t="s">
        <v>604</v>
      </c>
      <c r="DX40" s="57">
        <f>DX2</f>
        <v>27.868141154151854</v>
      </c>
      <c r="DY40" s="25"/>
      <c r="DZ40" s="25"/>
      <c r="EA40" s="25"/>
      <c r="EB40" s="25"/>
      <c r="EC40" s="25"/>
      <c r="ED40" s="25"/>
      <c r="EE40" s="25"/>
      <c r="EF40" s="25"/>
      <c r="EG40" s="25"/>
      <c r="EH40" s="25"/>
      <c r="EI40" s="25"/>
      <c r="EJ40" s="25"/>
      <c r="EK40" s="25"/>
      <c r="EL40" s="25"/>
      <c r="EM40" s="25"/>
      <c r="EN40" s="25"/>
    </row>
    <row r="41" spans="1:144" ht="15.75" customHeight="1" x14ac:dyDescent="0.25">
      <c r="A41" s="530" t="s">
        <v>42</v>
      </c>
      <c r="B41" s="25">
        <f>SUM(B2:B5)</f>
        <v>64.843008508535164</v>
      </c>
      <c r="C41" s="25"/>
      <c r="D41" s="25"/>
      <c r="E41" s="25"/>
      <c r="F41" s="25"/>
      <c r="G41" s="25"/>
      <c r="H41" s="25"/>
      <c r="I41" s="25"/>
      <c r="J41" s="25"/>
      <c r="K41" s="530" t="s">
        <v>42</v>
      </c>
      <c r="L41" s="25">
        <f>SUM(L2:L5)</f>
        <v>59.825054703207485</v>
      </c>
      <c r="M41" s="25"/>
      <c r="N41" s="25"/>
      <c r="O41" s="25"/>
      <c r="P41" s="25"/>
      <c r="Q41" s="25"/>
      <c r="R41" s="25"/>
      <c r="S41" s="25"/>
      <c r="T41" s="25"/>
      <c r="U41" s="530" t="s">
        <v>42</v>
      </c>
      <c r="V41" s="25">
        <f>SUM(V2:V5)</f>
        <v>58.065684777913766</v>
      </c>
      <c r="W41" s="25"/>
      <c r="X41" s="25"/>
      <c r="Y41" s="25"/>
      <c r="Z41" s="25"/>
      <c r="AA41" s="25"/>
      <c r="AB41" s="25"/>
      <c r="AC41" s="25"/>
      <c r="AD41" s="25"/>
      <c r="AE41" s="530" t="s">
        <v>42</v>
      </c>
      <c r="AF41" s="25">
        <f>SUM(AF2+AF3+AF4+AF5)</f>
        <v>55.568649725363336</v>
      </c>
      <c r="AG41" s="25"/>
      <c r="AH41" s="25"/>
      <c r="AI41" s="25"/>
      <c r="AJ41" s="25"/>
      <c r="AK41" s="25"/>
      <c r="AL41" s="25"/>
      <c r="AM41" s="25"/>
      <c r="AN41" s="25"/>
      <c r="AO41" s="25"/>
      <c r="AP41" s="530" t="s">
        <v>42</v>
      </c>
      <c r="AQ41" s="25">
        <f>SUM(AQ2:AQ5)</f>
        <v>59.44528247147958</v>
      </c>
      <c r="AR41" s="25"/>
      <c r="AS41" s="25"/>
      <c r="AT41" s="25"/>
      <c r="AU41" s="25"/>
      <c r="AV41" s="25"/>
      <c r="AW41" s="25"/>
      <c r="AX41" s="25"/>
      <c r="AY41" s="25"/>
      <c r="AZ41" s="25"/>
      <c r="BA41" s="25"/>
      <c r="BB41" s="530" t="s">
        <v>42</v>
      </c>
      <c r="BC41" s="25">
        <f>SUM(BC2:BC5)</f>
        <v>59.63091794829748</v>
      </c>
      <c r="BD41" s="25"/>
      <c r="BE41" s="25"/>
      <c r="BF41" s="25"/>
      <c r="BG41" s="25"/>
      <c r="BH41" s="25"/>
      <c r="BI41" s="25"/>
      <c r="BJ41" s="25"/>
      <c r="BK41" s="25"/>
      <c r="BL41" s="25"/>
      <c r="BM41" s="25"/>
      <c r="BN41" s="621" t="s">
        <v>42</v>
      </c>
      <c r="BO41" s="24">
        <f>SUM(BO2:BO5)</f>
        <v>62.880970525947014</v>
      </c>
      <c r="BP41" s="25"/>
      <c r="BQ41" s="25"/>
      <c r="BR41" s="25"/>
      <c r="BS41" s="25"/>
      <c r="BT41" s="25"/>
      <c r="BU41" s="25"/>
      <c r="BV41" s="25"/>
      <c r="BW41" s="25"/>
      <c r="BX41" s="25"/>
      <c r="BY41" s="25"/>
      <c r="BZ41" s="530" t="s">
        <v>42</v>
      </c>
      <c r="CA41" s="25">
        <f>SUM(CA2:CA5)</f>
        <v>62.490306518473979</v>
      </c>
      <c r="CB41" s="25"/>
      <c r="CC41" s="25"/>
      <c r="CD41" s="25"/>
      <c r="CE41" s="25"/>
      <c r="CF41" s="25"/>
      <c r="CG41" s="25"/>
      <c r="CH41" s="25"/>
      <c r="CI41" s="25"/>
      <c r="CJ41" s="25"/>
      <c r="CK41" s="25"/>
      <c r="CL41" s="530" t="s">
        <v>42</v>
      </c>
      <c r="CM41" s="25">
        <f>SUM(CM2:CM5)</f>
        <v>67.895188304047451</v>
      </c>
      <c r="CN41" s="25"/>
      <c r="CO41" s="25"/>
      <c r="CP41" s="25"/>
      <c r="CQ41" s="25"/>
      <c r="CR41" s="25"/>
      <c r="CS41" s="25"/>
      <c r="CT41" s="25"/>
      <c r="CU41" s="25"/>
      <c r="CV41" s="25"/>
      <c r="CW41" s="25"/>
      <c r="CX41" s="530" t="s">
        <v>42</v>
      </c>
      <c r="CY41" s="25">
        <f>SUM(CY2:CY5)</f>
        <v>66.291150491439836</v>
      </c>
      <c r="CZ41" s="25"/>
      <c r="DA41" s="25"/>
      <c r="DB41" s="25"/>
      <c r="DC41" s="25"/>
      <c r="DD41" s="25"/>
      <c r="DE41" s="25"/>
      <c r="DF41" s="25"/>
      <c r="DG41" s="25"/>
      <c r="DH41" s="25"/>
      <c r="DI41" s="25"/>
      <c r="DJ41" s="530" t="s">
        <v>42</v>
      </c>
      <c r="DK41" s="25">
        <f>SUM(DK2:DK5)</f>
        <v>67.083227427915375</v>
      </c>
      <c r="DL41" s="25"/>
      <c r="DM41" s="25"/>
      <c r="DN41" s="25"/>
      <c r="DO41" s="25"/>
      <c r="DP41" s="25"/>
      <c r="DQ41" s="25"/>
      <c r="DR41" s="25"/>
      <c r="DS41" s="25"/>
      <c r="DT41" s="25"/>
      <c r="DU41" s="25"/>
      <c r="DV41" s="25"/>
      <c r="DW41" s="530" t="s">
        <v>42</v>
      </c>
      <c r="DX41" s="57">
        <f>SUM(DX2:DX5)</f>
        <v>67.885719249916562</v>
      </c>
      <c r="DY41" s="25"/>
      <c r="DZ41" s="25"/>
      <c r="EA41" s="25"/>
      <c r="EB41" s="25"/>
      <c r="EC41" s="25"/>
      <c r="ED41" s="25"/>
      <c r="EE41" s="25"/>
      <c r="EF41" s="25"/>
      <c r="EG41" s="25"/>
      <c r="EH41" s="25"/>
      <c r="EI41" s="25"/>
      <c r="EJ41" s="25"/>
      <c r="EK41" s="25"/>
      <c r="EL41" s="25"/>
      <c r="EM41" s="25"/>
      <c r="EN41" s="25"/>
    </row>
    <row r="42" spans="1:144" ht="15.75" customHeight="1" x14ac:dyDescent="0.25">
      <c r="A42" s="56" t="s">
        <v>687</v>
      </c>
      <c r="B42" s="25">
        <f>SUM(B2:B11)</f>
        <v>76.744368057758535</v>
      </c>
      <c r="C42" s="25"/>
      <c r="D42" s="25"/>
      <c r="E42" s="25"/>
      <c r="F42" s="25"/>
      <c r="G42" s="25"/>
      <c r="H42" s="25"/>
      <c r="I42" s="25"/>
      <c r="J42" s="25"/>
      <c r="K42" s="367" t="s">
        <v>615</v>
      </c>
      <c r="L42" s="25">
        <f>SUM(L2:L11)</f>
        <v>74.729939132157611</v>
      </c>
      <c r="M42" s="25"/>
      <c r="N42" s="25"/>
      <c r="O42" s="25"/>
      <c r="P42" s="25"/>
      <c r="Q42" s="25"/>
      <c r="R42" s="25"/>
      <c r="S42" s="25"/>
      <c r="T42" s="25"/>
      <c r="U42" s="530" t="s">
        <v>615</v>
      </c>
      <c r="V42" s="25">
        <f>SUM(V2+V3+V4+V5+V6+V7+V13+V8+V9+V10)</f>
        <v>75.232680525286085</v>
      </c>
      <c r="W42" s="25"/>
      <c r="X42" s="25"/>
      <c r="Y42" s="25"/>
      <c r="Z42" s="25"/>
      <c r="AA42" s="25"/>
      <c r="AB42" s="25"/>
      <c r="AC42" s="25"/>
      <c r="AD42" s="25"/>
      <c r="AE42" s="530" t="s">
        <v>615</v>
      </c>
      <c r="AF42" s="25">
        <f>SUM(AF2+AF3+AF4+AF5+AF6+AF7+AF8+AF9+AF10+AF26)</f>
        <v>70.639287439404484</v>
      </c>
      <c r="AG42" s="25"/>
      <c r="AH42" s="25"/>
      <c r="AI42" s="25"/>
      <c r="AJ42" s="25"/>
      <c r="AK42" s="25"/>
      <c r="AL42" s="25"/>
      <c r="AM42" s="25"/>
      <c r="AN42" s="25"/>
      <c r="AO42" s="25"/>
      <c r="AP42" s="530" t="s">
        <v>615</v>
      </c>
      <c r="AQ42" s="25">
        <f>SUM(AQ2+AQ3+AQ4+AQ5+AQ6+AQ7+AQ8+AQ9+AQ10+AQ13)</f>
        <v>75.173968976400275</v>
      </c>
      <c r="AR42" s="25"/>
      <c r="AS42" s="25"/>
      <c r="AT42" s="25"/>
      <c r="AU42" s="25"/>
      <c r="AV42" s="25"/>
      <c r="AW42" s="25"/>
      <c r="AX42" s="25"/>
      <c r="AY42" s="25"/>
      <c r="AZ42" s="25"/>
      <c r="BA42" s="25"/>
      <c r="BB42" s="367" t="s">
        <v>615</v>
      </c>
      <c r="BC42" s="25">
        <f>SUM(BC2:BC11)</f>
        <v>76.586920195903971</v>
      </c>
      <c r="BD42" s="25"/>
      <c r="BE42" s="25"/>
      <c r="BF42" s="25"/>
      <c r="BG42" s="25"/>
      <c r="BH42" s="25"/>
      <c r="BI42" s="25"/>
      <c r="BJ42" s="25"/>
      <c r="BK42" s="25"/>
      <c r="BL42" s="25"/>
      <c r="BM42" s="25"/>
      <c r="BN42" s="621" t="s">
        <v>615</v>
      </c>
      <c r="BO42" s="25">
        <f>SUM(BO2+BO3+BO4+BO5+BO6+BO7+BO8+BO9+BO10+BO12)</f>
        <v>81.853535789619613</v>
      </c>
      <c r="BP42" s="25"/>
      <c r="BQ42" s="25"/>
      <c r="BR42" s="25"/>
      <c r="BS42" s="25"/>
      <c r="BT42" s="25"/>
      <c r="BU42" s="25"/>
      <c r="BV42" s="25"/>
      <c r="BW42" s="25"/>
      <c r="BX42" s="25"/>
      <c r="BY42" s="25"/>
      <c r="BZ42" s="530" t="s">
        <v>615</v>
      </c>
      <c r="CA42" s="25">
        <f>SUM(CA2:CA12)</f>
        <v>81.097645595393047</v>
      </c>
      <c r="CB42" s="25"/>
      <c r="CC42" s="25"/>
      <c r="CD42" s="25"/>
      <c r="CE42" s="25"/>
      <c r="CF42" s="25"/>
      <c r="CG42" s="25"/>
      <c r="CH42" s="25"/>
      <c r="CI42" s="25"/>
      <c r="CJ42" s="25"/>
      <c r="CK42" s="25"/>
      <c r="CL42" s="530" t="s">
        <v>615</v>
      </c>
      <c r="CM42" s="25">
        <f>SUM(CM2:CM11)</f>
        <v>83.461914018159916</v>
      </c>
      <c r="CN42" s="25"/>
      <c r="CO42" s="25"/>
      <c r="CP42" s="25"/>
      <c r="CQ42" s="25"/>
      <c r="CR42" s="25"/>
      <c r="CS42" s="25"/>
      <c r="CT42" s="25"/>
      <c r="CU42" s="25"/>
      <c r="CV42" s="25"/>
      <c r="CW42" s="25"/>
      <c r="CX42" s="367" t="s">
        <v>615</v>
      </c>
      <c r="CY42" s="25">
        <f>SUM(CY2:CY11)</f>
        <v>82.01270446751569</v>
      </c>
      <c r="CZ42" s="25"/>
      <c r="DA42" s="25"/>
      <c r="DB42" s="25"/>
      <c r="DC42" s="25"/>
      <c r="DD42" s="25"/>
      <c r="DE42" s="25"/>
      <c r="DF42" s="25"/>
      <c r="DG42" s="25"/>
      <c r="DH42" s="25"/>
      <c r="DI42" s="25"/>
      <c r="DJ42" s="367" t="s">
        <v>615</v>
      </c>
      <c r="DK42" s="25">
        <f>SUM(DK2+DK3+DK4+DK5+DK6+DK7+DK8+DK9+DK10+DK12)</f>
        <v>82.775602048999403</v>
      </c>
      <c r="DL42" s="25"/>
      <c r="DM42" s="25"/>
      <c r="DN42" s="25"/>
      <c r="DO42" s="25"/>
      <c r="DP42" s="25"/>
      <c r="DQ42" s="25"/>
      <c r="DR42" s="25"/>
      <c r="DS42" s="25"/>
      <c r="DT42" s="25"/>
      <c r="DU42" s="25"/>
      <c r="DV42" s="25"/>
      <c r="DW42" s="367" t="s">
        <v>615</v>
      </c>
      <c r="DX42" s="57">
        <f>SUM(DX2+DX3+DX4+DX5+DX6+DX7+DX8+DX9+DX10+DX12)</f>
        <v>83.580830777455532</v>
      </c>
      <c r="DY42" s="25"/>
      <c r="DZ42" s="25"/>
      <c r="EA42" s="25"/>
      <c r="EB42" s="25"/>
      <c r="EC42" s="25"/>
      <c r="ED42" s="25"/>
      <c r="EE42" s="25"/>
      <c r="EF42" s="25"/>
      <c r="EG42" s="25"/>
      <c r="EH42" s="25"/>
      <c r="EI42" s="25"/>
      <c r="EJ42" s="25"/>
      <c r="EK42" s="25"/>
      <c r="EL42" s="25"/>
      <c r="EM42" s="25"/>
      <c r="EN42" s="25"/>
    </row>
    <row r="43" spans="1:144" ht="15.75" customHeight="1" x14ac:dyDescent="0.25">
      <c r="A43" s="511" t="s">
        <v>43</v>
      </c>
      <c r="B43" s="25">
        <f>SUMSQ(B2:B32)</f>
        <v>2332.7138564008073</v>
      </c>
      <c r="C43" s="25"/>
      <c r="D43" s="25"/>
      <c r="E43" s="25"/>
      <c r="F43" s="25"/>
      <c r="G43" s="25"/>
      <c r="H43" s="25"/>
      <c r="I43" s="25"/>
      <c r="J43" s="25"/>
      <c r="K43" s="56" t="s">
        <v>43</v>
      </c>
      <c r="L43" s="25">
        <f>SUMSQ(L2:L34)</f>
        <v>1881.2398915990632</v>
      </c>
      <c r="M43" s="25"/>
      <c r="N43" s="25"/>
      <c r="O43" s="25"/>
      <c r="P43" s="25"/>
      <c r="Q43" s="25"/>
      <c r="R43" s="25"/>
      <c r="S43" s="25"/>
      <c r="T43" s="25"/>
      <c r="U43" s="511" t="s">
        <v>43</v>
      </c>
      <c r="V43" s="25">
        <f>SUMSQ(V2:V33)</f>
        <v>1770.9991408508743</v>
      </c>
      <c r="W43" s="25"/>
      <c r="X43" s="25"/>
      <c r="Y43" s="25"/>
      <c r="Z43" s="25"/>
      <c r="AA43" s="25"/>
      <c r="AB43" s="25"/>
      <c r="AC43" s="25"/>
      <c r="AD43" s="25"/>
      <c r="AE43" s="56" t="s">
        <v>43</v>
      </c>
      <c r="AF43" s="25">
        <f>SUMSQ(AF2:AF29)</f>
        <v>1408.1955284697192</v>
      </c>
      <c r="AG43" s="25"/>
      <c r="AH43" s="25"/>
      <c r="AI43" s="25"/>
      <c r="AJ43" s="25"/>
      <c r="AK43" s="25"/>
      <c r="AL43" s="25"/>
      <c r="AM43" s="25"/>
      <c r="AN43" s="25"/>
      <c r="AO43" s="25"/>
      <c r="AP43" s="56" t="s">
        <v>43</v>
      </c>
      <c r="AQ43" s="25">
        <f>SUMSQ(AQ2:AQ26)</f>
        <v>1495.5562365245537</v>
      </c>
      <c r="AR43" s="25"/>
      <c r="AS43" s="25"/>
      <c r="AT43" s="25"/>
      <c r="AU43" s="25"/>
      <c r="AV43" s="25"/>
      <c r="AW43" s="25"/>
      <c r="AX43" s="25"/>
      <c r="AY43" s="25"/>
      <c r="AZ43" s="25"/>
      <c r="BA43" s="25"/>
      <c r="BB43" s="56" t="s">
        <v>43</v>
      </c>
      <c r="BC43" s="25">
        <f>SUMSQ(BC2:BC30)</f>
        <v>1333.7312910045719</v>
      </c>
      <c r="BD43" s="25"/>
      <c r="BE43" s="25"/>
      <c r="BF43" s="25"/>
      <c r="BG43" s="25"/>
      <c r="BH43" s="25"/>
      <c r="BI43" s="25"/>
      <c r="BJ43" s="25"/>
      <c r="BK43" s="25"/>
      <c r="BL43" s="25"/>
      <c r="BM43" s="25"/>
      <c r="BN43" s="544" t="s">
        <v>43</v>
      </c>
      <c r="BO43" s="25">
        <f>SUMSQ(BO2:BO17)</f>
        <v>1281.2899188383515</v>
      </c>
      <c r="BP43" s="25"/>
      <c r="BQ43" s="25"/>
      <c r="BR43" s="25"/>
      <c r="BS43" s="25"/>
      <c r="BT43" s="25"/>
      <c r="BU43" s="25"/>
      <c r="BV43" s="25"/>
      <c r="BW43" s="25"/>
      <c r="BX43" s="25"/>
      <c r="BY43" s="25"/>
      <c r="BZ43" s="56" t="s">
        <v>43</v>
      </c>
      <c r="CA43" s="25">
        <f>SUMSQ(CA2:CA16)</f>
        <v>1208.8958858718461</v>
      </c>
      <c r="CB43" s="25"/>
      <c r="CC43" s="25"/>
      <c r="CD43" s="25"/>
      <c r="CE43" s="25"/>
      <c r="CF43" s="25"/>
      <c r="CG43" s="25"/>
      <c r="CH43" s="25"/>
      <c r="CI43" s="25"/>
      <c r="CJ43" s="25"/>
      <c r="CK43" s="25"/>
      <c r="CL43" s="56" t="s">
        <v>43</v>
      </c>
      <c r="CM43" s="25">
        <f>SUMSQ(CM2:CM19)</f>
        <v>1399.8424573540399</v>
      </c>
      <c r="CN43" s="25"/>
      <c r="CO43" s="25"/>
      <c r="CP43" s="25"/>
      <c r="CQ43" s="25"/>
      <c r="CR43" s="25"/>
      <c r="CS43" s="25"/>
      <c r="CT43" s="25"/>
      <c r="CU43" s="25"/>
      <c r="CV43" s="25"/>
      <c r="CW43" s="25"/>
      <c r="CX43" s="56" t="s">
        <v>43</v>
      </c>
      <c r="CY43" s="25">
        <f>SUMSQ(CY2:CY19)</f>
        <v>1357.9063325964189</v>
      </c>
      <c r="CZ43" s="25"/>
      <c r="DA43" s="25"/>
      <c r="DB43" s="25"/>
      <c r="DC43" s="25"/>
      <c r="DD43" s="25"/>
      <c r="DE43" s="25"/>
      <c r="DF43" s="25"/>
      <c r="DG43" s="25"/>
      <c r="DH43" s="25"/>
      <c r="DI43" s="25"/>
      <c r="DJ43" s="56" t="s">
        <v>43</v>
      </c>
      <c r="DK43" s="25">
        <f>SUMSQ(DK2:DK18)</f>
        <v>1393.019189165326</v>
      </c>
      <c r="DL43" s="25"/>
      <c r="DM43" s="25"/>
      <c r="DN43" s="25"/>
      <c r="DO43" s="25"/>
      <c r="DP43" s="25"/>
      <c r="DQ43" s="25"/>
      <c r="DR43" s="25"/>
      <c r="DS43" s="25"/>
      <c r="DT43" s="25"/>
      <c r="DU43" s="25"/>
      <c r="DV43" s="25"/>
      <c r="DW43" s="56" t="s">
        <v>43</v>
      </c>
      <c r="DX43" s="57">
        <f>SUMSQ(DX2:DX18)</f>
        <v>1412.2122380767705</v>
      </c>
      <c r="DY43" s="25"/>
      <c r="DZ43" s="25"/>
      <c r="EA43" s="25"/>
      <c r="EB43" s="25"/>
      <c r="EC43" s="25"/>
      <c r="ED43" s="25"/>
      <c r="EE43" s="25"/>
      <c r="EF43" s="25"/>
      <c r="EG43" s="25"/>
      <c r="EH43" s="25"/>
      <c r="EI43" s="25"/>
      <c r="EJ43" s="25"/>
      <c r="EK43" s="25"/>
      <c r="EL43" s="25"/>
      <c r="EM43" s="25"/>
      <c r="EN43" s="25"/>
    </row>
    <row r="44" spans="1:144" ht="15.7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row>
    <row r="45" spans="1:144" ht="15.75" customHeight="1" x14ac:dyDescent="0.25">
      <c r="A45" s="57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88"/>
      <c r="DY45" s="25"/>
      <c r="DZ45" s="25"/>
      <c r="EA45" s="25"/>
      <c r="EB45" s="25"/>
      <c r="EC45" s="25"/>
      <c r="ED45" s="25"/>
      <c r="EE45" s="25"/>
      <c r="EF45" s="25"/>
      <c r="EG45" s="25"/>
      <c r="EH45" s="25"/>
      <c r="EI45" s="25"/>
      <c r="EJ45" s="25"/>
      <c r="EK45" s="25"/>
      <c r="EL45" s="25"/>
      <c r="EM45" s="25"/>
      <c r="EN45" s="25"/>
    </row>
    <row r="46" spans="1:144" ht="15.7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row>
    <row r="47" spans="1:144" ht="15.7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row>
    <row r="48" spans="1:144" ht="15.7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row>
    <row r="49" spans="1:144" ht="15.7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row>
    <row r="50" spans="1:144" ht="15.7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row>
    <row r="51" spans="1:144" ht="15.7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row>
    <row r="52" spans="1:144"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row>
    <row r="53" spans="1:144" ht="15.7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row>
    <row r="54" spans="1:144" ht="15.7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row>
    <row r="55" spans="1:144"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row>
    <row r="56" spans="1:144"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row>
    <row r="57" spans="1:144"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row>
    <row r="58" spans="1:144"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row>
    <row r="59" spans="1:144"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row>
    <row r="60" spans="1:144"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row>
    <row r="61" spans="1:144"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row>
    <row r="62" spans="1:144"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row>
    <row r="63" spans="1:144"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row>
    <row r="64" spans="1:144"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88"/>
      <c r="DX64" s="25"/>
      <c r="DY64" s="25"/>
      <c r="DZ64" s="25"/>
      <c r="EA64" s="25"/>
      <c r="EB64" s="25"/>
      <c r="EC64" s="25"/>
      <c r="ED64" s="25"/>
      <c r="EE64" s="25"/>
      <c r="EF64" s="25"/>
      <c r="EG64" s="25"/>
      <c r="EH64" s="25"/>
      <c r="EI64" s="25"/>
      <c r="EJ64" s="25"/>
      <c r="EK64" s="25"/>
      <c r="EL64" s="25"/>
      <c r="EM64" s="25"/>
      <c r="EN64" s="25"/>
    </row>
  </sheetData>
  <mergeCells count="1">
    <mergeCell ref="EI5:EK18"/>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80"/>
  <sheetViews>
    <sheetView workbookViewId="0"/>
  </sheetViews>
  <sheetFormatPr defaultColWidth="17.25" defaultRowHeight="15" customHeight="1" x14ac:dyDescent="0.2"/>
  <cols>
    <col min="1" max="1" width="14.75" customWidth="1"/>
    <col min="2" max="2" width="13.75" customWidth="1"/>
    <col min="3" max="3" width="17.25" customWidth="1"/>
    <col min="4" max="6" width="10.75" customWidth="1"/>
    <col min="7" max="7" width="12.125" customWidth="1"/>
    <col min="8" max="8" width="10.75" customWidth="1"/>
    <col min="9" max="9" width="15.125" customWidth="1"/>
    <col min="10" max="10" width="13.75" customWidth="1"/>
    <col min="11" max="11" width="17.25" customWidth="1"/>
    <col min="12" max="14" width="10.75" customWidth="1"/>
    <col min="15" max="15" width="12.125" customWidth="1"/>
    <col min="16" max="16" width="10.75" customWidth="1"/>
    <col min="17" max="17" width="14.75" customWidth="1"/>
    <col min="18" max="18" width="13.75" customWidth="1"/>
    <col min="19" max="19" width="17.25" customWidth="1"/>
    <col min="20" max="22" width="10.75" customWidth="1"/>
    <col min="23" max="23" width="11.75" customWidth="1"/>
    <col min="24" max="24" width="10.75" customWidth="1"/>
    <col min="25" max="25" width="14.75" customWidth="1"/>
    <col min="26" max="26" width="13.75" customWidth="1"/>
    <col min="27" max="27" width="17.25" customWidth="1"/>
    <col min="28" max="28" width="15" customWidth="1"/>
    <col min="29" max="31" width="10.75" customWidth="1"/>
    <col min="32" max="32" width="12.125" customWidth="1"/>
    <col min="33" max="33" width="10.75" customWidth="1"/>
    <col min="34" max="34" width="14.75" customWidth="1"/>
    <col min="35" max="35" width="13.75" customWidth="1"/>
    <col min="36" max="36" width="10.75" customWidth="1"/>
    <col min="37" max="37" width="15.375" customWidth="1"/>
    <col min="38" max="40" width="10.75" customWidth="1"/>
    <col min="41" max="41" width="12.125" customWidth="1"/>
    <col min="42" max="42" width="20" customWidth="1"/>
    <col min="43" max="43" width="10.75" customWidth="1"/>
    <col min="44" max="44" width="14.75" customWidth="1"/>
    <col min="45" max="45" width="13.75" customWidth="1"/>
    <col min="46" max="46" width="17.25" customWidth="1"/>
    <col min="47" max="47" width="15.375" customWidth="1"/>
    <col min="48" max="50" width="10.75" customWidth="1"/>
    <col min="51" max="51" width="13.125" customWidth="1"/>
    <col min="52" max="52" width="20" customWidth="1"/>
    <col min="53" max="53" width="10.75" customWidth="1"/>
    <col min="54" max="54" width="15.375" customWidth="1"/>
    <col min="55" max="55" width="11.625" customWidth="1"/>
    <col min="56" max="56" width="14.25" customWidth="1"/>
    <col min="57" max="57" width="15.375" customWidth="1"/>
    <col min="58" max="58" width="16.875" customWidth="1"/>
    <col min="59" max="60" width="10.75" customWidth="1"/>
    <col min="61" max="61" width="12.625" customWidth="1"/>
    <col min="62" max="62" width="20" customWidth="1"/>
    <col min="63" max="63" width="7.375" customWidth="1"/>
    <col min="64" max="64" width="14.75" customWidth="1"/>
    <col min="65" max="65" width="13.75" customWidth="1"/>
    <col min="66" max="66" width="22.75" customWidth="1"/>
    <col min="67" max="67" width="24" customWidth="1"/>
    <col min="68" max="68" width="20.125" customWidth="1"/>
    <col min="69" max="70" width="10.75" customWidth="1"/>
    <col min="71" max="71" width="13.125" customWidth="1"/>
    <col min="72" max="72" width="20" customWidth="1"/>
    <col min="73" max="73" width="10.75" customWidth="1"/>
    <col min="74" max="74" width="25.375" customWidth="1"/>
    <col min="75" max="75" width="11.625" customWidth="1"/>
    <col min="76" max="76" width="17.25" customWidth="1"/>
    <col min="77" max="77" width="15.375" customWidth="1"/>
    <col min="78" max="78" width="16.875" customWidth="1"/>
    <col min="79" max="80" width="10.75" customWidth="1"/>
    <col min="81" max="81" width="13.125" customWidth="1"/>
    <col min="82" max="82" width="20" customWidth="1"/>
    <col min="83" max="83" width="11" customWidth="1"/>
    <col min="84" max="84" width="27.875" customWidth="1"/>
    <col min="85" max="85" width="11.625" customWidth="1"/>
    <col min="86" max="86" width="17.25" customWidth="1"/>
    <col min="87" max="87" width="15.375" customWidth="1"/>
    <col min="88" max="88" width="16.875" customWidth="1"/>
    <col min="89" max="90" width="10.75" customWidth="1"/>
    <col min="91" max="91" width="13.125" customWidth="1"/>
    <col min="92" max="92" width="20" customWidth="1"/>
    <col min="93" max="93" width="10.75" customWidth="1"/>
    <col min="94" max="94" width="27.75" customWidth="1"/>
    <col min="95" max="95" width="14.75" customWidth="1"/>
    <col min="96" max="96" width="17.25" customWidth="1"/>
    <col min="97" max="97" width="18.125" customWidth="1"/>
    <col min="98" max="98" width="16.875" customWidth="1"/>
    <col min="99" max="100" width="10.75" customWidth="1"/>
    <col min="101" max="101" width="13.125" customWidth="1"/>
    <col min="102" max="102" width="28.125" customWidth="1"/>
    <col min="103" max="103" width="10.75" customWidth="1"/>
    <col min="104" max="104" width="22.125" customWidth="1"/>
    <col min="105" max="105" width="16.375" customWidth="1"/>
    <col min="106" max="106" width="24.875" customWidth="1"/>
    <col min="107" max="107" width="22.875" customWidth="1"/>
    <col min="108" max="108" width="25.375" customWidth="1"/>
    <col min="109" max="109" width="11.25" customWidth="1"/>
    <col min="110" max="110" width="9.625" customWidth="1"/>
    <col min="111" max="111" width="19.875" customWidth="1"/>
    <col min="112" max="119" width="28.125" customWidth="1"/>
  </cols>
  <sheetData>
    <row r="1" spans="1:119" ht="18" customHeight="1" x14ac:dyDescent="0.2">
      <c r="A1" s="114">
        <v>1984</v>
      </c>
      <c r="B1" s="199" t="s">
        <v>91</v>
      </c>
      <c r="C1" s="199" t="s">
        <v>92</v>
      </c>
      <c r="D1" s="200" t="s">
        <v>95</v>
      </c>
      <c r="E1" s="200" t="s">
        <v>96</v>
      </c>
      <c r="F1" s="200" t="s">
        <v>99</v>
      </c>
      <c r="G1" s="200" t="s">
        <v>354</v>
      </c>
      <c r="H1" s="199"/>
      <c r="I1" s="114">
        <v>1988</v>
      </c>
      <c r="J1" s="199" t="s">
        <v>91</v>
      </c>
      <c r="K1" s="199" t="s">
        <v>92</v>
      </c>
      <c r="L1" s="200" t="s">
        <v>95</v>
      </c>
      <c r="M1" s="200" t="s">
        <v>96</v>
      </c>
      <c r="N1" s="200" t="s">
        <v>99</v>
      </c>
      <c r="O1" s="200" t="s">
        <v>354</v>
      </c>
      <c r="P1" s="199"/>
      <c r="Q1" s="114">
        <v>1992</v>
      </c>
      <c r="R1" s="199" t="s">
        <v>91</v>
      </c>
      <c r="S1" s="199" t="s">
        <v>92</v>
      </c>
      <c r="T1" s="200" t="s">
        <v>95</v>
      </c>
      <c r="U1" s="200" t="s">
        <v>96</v>
      </c>
      <c r="V1" s="200" t="s">
        <v>99</v>
      </c>
      <c r="W1" s="200" t="s">
        <v>356</v>
      </c>
      <c r="X1" s="199"/>
      <c r="Y1" s="114">
        <v>1996</v>
      </c>
      <c r="Z1" s="199" t="s">
        <v>91</v>
      </c>
      <c r="AA1" s="199" t="s">
        <v>92</v>
      </c>
      <c r="AB1" s="200" t="s">
        <v>146</v>
      </c>
      <c r="AC1" s="200" t="s">
        <v>95</v>
      </c>
      <c r="AD1" s="200" t="s">
        <v>96</v>
      </c>
      <c r="AE1" s="200" t="s">
        <v>99</v>
      </c>
      <c r="AF1" s="200" t="s">
        <v>354</v>
      </c>
      <c r="AG1" s="199"/>
      <c r="AH1" s="114">
        <v>2000</v>
      </c>
      <c r="AI1" s="199" t="s">
        <v>91</v>
      </c>
      <c r="AJ1" s="199" t="s">
        <v>41</v>
      </c>
      <c r="AK1" s="200" t="s">
        <v>146</v>
      </c>
      <c r="AL1" s="200" t="s">
        <v>95</v>
      </c>
      <c r="AM1" s="200" t="s">
        <v>96</v>
      </c>
      <c r="AN1" s="200" t="s">
        <v>99</v>
      </c>
      <c r="AO1" s="200" t="s">
        <v>354</v>
      </c>
      <c r="AP1" s="199" t="s">
        <v>160</v>
      </c>
      <c r="AQ1" s="199"/>
      <c r="AR1" s="114">
        <v>2004</v>
      </c>
      <c r="AS1" s="199" t="s">
        <v>91</v>
      </c>
      <c r="AT1" s="199" t="s">
        <v>92</v>
      </c>
      <c r="AU1" s="199" t="s">
        <v>146</v>
      </c>
      <c r="AV1" s="199" t="s">
        <v>95</v>
      </c>
      <c r="AW1" s="199" t="s">
        <v>96</v>
      </c>
      <c r="AX1" s="200" t="s">
        <v>99</v>
      </c>
      <c r="AY1" s="200" t="s">
        <v>98</v>
      </c>
      <c r="AZ1" s="199" t="s">
        <v>160</v>
      </c>
      <c r="BA1" s="199"/>
      <c r="BB1" s="114">
        <v>2008</v>
      </c>
      <c r="BC1" s="199" t="s">
        <v>91</v>
      </c>
      <c r="BD1" s="199" t="s">
        <v>118</v>
      </c>
      <c r="BE1" s="199" t="s">
        <v>146</v>
      </c>
      <c r="BF1" s="199" t="s">
        <v>357</v>
      </c>
      <c r="BG1" s="199" t="s">
        <v>216</v>
      </c>
      <c r="BH1" s="199" t="s">
        <v>99</v>
      </c>
      <c r="BI1" s="199" t="s">
        <v>98</v>
      </c>
      <c r="BJ1" s="199" t="s">
        <v>160</v>
      </c>
      <c r="BK1" s="199"/>
      <c r="BL1" s="114">
        <v>2010</v>
      </c>
      <c r="BM1" s="199" t="s">
        <v>91</v>
      </c>
      <c r="BN1" s="199" t="s">
        <v>92</v>
      </c>
      <c r="BO1" s="200" t="s">
        <v>146</v>
      </c>
      <c r="BP1" s="200" t="s">
        <v>363</v>
      </c>
      <c r="BQ1" s="199" t="s">
        <v>216</v>
      </c>
      <c r="BR1" s="199" t="s">
        <v>99</v>
      </c>
      <c r="BS1" s="199" t="s">
        <v>98</v>
      </c>
      <c r="BT1" s="199" t="s">
        <v>160</v>
      </c>
      <c r="BU1" s="199"/>
      <c r="BV1" s="114">
        <v>2011</v>
      </c>
      <c r="BW1" s="199" t="s">
        <v>91</v>
      </c>
      <c r="BX1" s="199" t="s">
        <v>92</v>
      </c>
      <c r="BY1" s="199" t="s">
        <v>146</v>
      </c>
      <c r="BZ1" s="199" t="s">
        <v>357</v>
      </c>
      <c r="CA1" s="199" t="s">
        <v>216</v>
      </c>
      <c r="CB1" s="199" t="s">
        <v>99</v>
      </c>
      <c r="CC1" s="199" t="s">
        <v>98</v>
      </c>
      <c r="CD1" s="199" t="s">
        <v>160</v>
      </c>
      <c r="CE1" s="199"/>
      <c r="CF1" s="114">
        <v>2012</v>
      </c>
      <c r="CG1" s="199" t="s">
        <v>91</v>
      </c>
      <c r="CH1" s="199" t="s">
        <v>92</v>
      </c>
      <c r="CI1" s="199" t="s">
        <v>146</v>
      </c>
      <c r="CJ1" s="199" t="s">
        <v>357</v>
      </c>
      <c r="CK1" s="199" t="s">
        <v>216</v>
      </c>
      <c r="CL1" s="199" t="s">
        <v>99</v>
      </c>
      <c r="CM1" s="199" t="s">
        <v>98</v>
      </c>
      <c r="CN1" s="199" t="s">
        <v>160</v>
      </c>
      <c r="CO1" s="199"/>
      <c r="CP1" s="114">
        <v>2013</v>
      </c>
      <c r="CQ1" s="199" t="s">
        <v>91</v>
      </c>
      <c r="CR1" s="199" t="s">
        <v>92</v>
      </c>
      <c r="CS1" s="199" t="s">
        <v>146</v>
      </c>
      <c r="CT1" s="199" t="s">
        <v>357</v>
      </c>
      <c r="CU1" s="199" t="s">
        <v>216</v>
      </c>
      <c r="CV1" s="199" t="s">
        <v>99</v>
      </c>
      <c r="CW1" s="199" t="s">
        <v>98</v>
      </c>
      <c r="CX1" s="199" t="s">
        <v>160</v>
      </c>
      <c r="CY1" s="199"/>
      <c r="CZ1" s="114">
        <v>2014</v>
      </c>
      <c r="DA1" s="199" t="s">
        <v>91</v>
      </c>
      <c r="DB1" s="199" t="s">
        <v>92</v>
      </c>
      <c r="DC1" s="199" t="s">
        <v>146</v>
      </c>
      <c r="DD1" s="199" t="s">
        <v>357</v>
      </c>
      <c r="DE1" s="199" t="s">
        <v>216</v>
      </c>
      <c r="DF1" s="199" t="s">
        <v>99</v>
      </c>
      <c r="DG1" s="199" t="s">
        <v>98</v>
      </c>
      <c r="DH1" s="199" t="s">
        <v>160</v>
      </c>
      <c r="DI1" s="199"/>
      <c r="DJ1" s="199"/>
      <c r="DK1" s="199"/>
      <c r="DL1" s="199"/>
      <c r="DM1" s="199"/>
      <c r="DN1" s="199"/>
      <c r="DO1" s="199"/>
    </row>
    <row r="2" spans="1:119" ht="15.75" customHeight="1" x14ac:dyDescent="0.25">
      <c r="A2" s="25" t="s">
        <v>178</v>
      </c>
      <c r="B2" s="25">
        <f>C2/C25*100</f>
        <v>16.662744544327822</v>
      </c>
      <c r="C2" s="25">
        <f t="shared" ref="C2:C25" si="0">SUM(D2:G2)</f>
        <v>1062.0999999999999</v>
      </c>
      <c r="D2" s="25"/>
      <c r="E2" s="25">
        <v>810.9</v>
      </c>
      <c r="F2" s="25">
        <v>251.2</v>
      </c>
      <c r="G2" s="25"/>
      <c r="H2" s="25"/>
      <c r="I2" s="25" t="s">
        <v>178</v>
      </c>
      <c r="J2" s="25">
        <f>K2/K27*100</f>
        <v>14.665159320295562</v>
      </c>
      <c r="K2" s="25">
        <f t="shared" ref="K2:K27" si="1">SUM(L2:O2)</f>
        <v>1258.3</v>
      </c>
      <c r="L2" s="25"/>
      <c r="M2" s="24">
        <v>982.3</v>
      </c>
      <c r="N2" s="25">
        <v>276</v>
      </c>
      <c r="O2" s="25"/>
      <c r="P2" s="25"/>
      <c r="Q2" s="25" t="s">
        <v>178</v>
      </c>
      <c r="R2" s="25">
        <f>S2/S26*100</f>
        <v>13.928483983946688</v>
      </c>
      <c r="S2" s="25">
        <f t="shared" ref="S2:S26" si="2">SUM(T2:W2)</f>
        <v>1308.4000000000001</v>
      </c>
      <c r="T2" s="25"/>
      <c r="U2" s="24">
        <v>1038.2</v>
      </c>
      <c r="V2" s="25">
        <v>270.2</v>
      </c>
      <c r="W2" s="108"/>
      <c r="X2" s="25"/>
      <c r="Y2" s="25" t="s">
        <v>17</v>
      </c>
      <c r="Z2" s="25">
        <f>AA2/AA21*100</f>
        <v>11.805415912594679</v>
      </c>
      <c r="AA2" s="25">
        <f t="shared" ref="AA2:AA21" si="3">SUM(AB2:AF2)</f>
        <v>1409.0000000000002</v>
      </c>
      <c r="AB2" s="25"/>
      <c r="AC2" s="25">
        <v>953.3</v>
      </c>
      <c r="AD2" s="25">
        <v>169.4</v>
      </c>
      <c r="AE2" s="25">
        <v>77.900000000000006</v>
      </c>
      <c r="AF2" s="25">
        <v>208.4</v>
      </c>
      <c r="AG2" s="25"/>
      <c r="AH2" s="25" t="s">
        <v>32</v>
      </c>
      <c r="AI2" s="25">
        <f>AJ2/AJ21*100</f>
        <v>3.4945646978106946</v>
      </c>
      <c r="AJ2" s="25">
        <f t="shared" ref="AJ2:AJ21" si="4">SUM(AK2:AP2)</f>
        <v>621.4</v>
      </c>
      <c r="AK2" s="25">
        <v>316.39999999999998</v>
      </c>
      <c r="AL2" s="25">
        <v>305</v>
      </c>
      <c r="AM2" s="25"/>
      <c r="AN2" s="25"/>
      <c r="AO2" s="25"/>
      <c r="AP2" s="25"/>
      <c r="AQ2" s="25"/>
      <c r="AR2" s="25" t="s">
        <v>32</v>
      </c>
      <c r="AS2" s="25">
        <f>AT2/AT21*100</f>
        <v>13.769269616276784</v>
      </c>
      <c r="AT2" s="25">
        <f t="shared" ref="AT2:AT21" si="5">SUM(AU2:AZ2)</f>
        <v>3217.3</v>
      </c>
      <c r="AU2" s="25">
        <v>940.6</v>
      </c>
      <c r="AV2" s="25">
        <v>856.7</v>
      </c>
      <c r="AW2" s="25">
        <v>981.9</v>
      </c>
      <c r="AX2" s="25"/>
      <c r="AY2" s="25">
        <v>438.1</v>
      </c>
      <c r="AZ2" s="25"/>
      <c r="BA2" s="25"/>
      <c r="BB2" s="25" t="s">
        <v>17</v>
      </c>
      <c r="BC2" s="25">
        <f>BD2/BD17*100</f>
        <v>10.749313329187395</v>
      </c>
      <c r="BD2" s="25">
        <f t="shared" ref="BD2:BD17" si="6">SUM(BE2:BJ2)</f>
        <v>3318.7</v>
      </c>
      <c r="BE2" s="24">
        <v>695</v>
      </c>
      <c r="BF2" s="24">
        <v>1600.2</v>
      </c>
      <c r="BG2" s="24">
        <v>483</v>
      </c>
      <c r="BH2" s="24">
        <v>241.3</v>
      </c>
      <c r="BI2" s="25">
        <v>299.2</v>
      </c>
      <c r="BJ2" s="25"/>
      <c r="BK2" s="25"/>
      <c r="BL2" s="63" t="s">
        <v>16</v>
      </c>
      <c r="BM2" s="25">
        <f>BN2/BN15*100</f>
        <v>15.51233866725622</v>
      </c>
      <c r="BN2" s="25">
        <f t="shared" ref="BN2:BN15" si="7">SUM(BP2:BT2)</f>
        <v>4069.6</v>
      </c>
      <c r="BO2" s="25">
        <v>916.4</v>
      </c>
      <c r="BP2" s="25">
        <v>2333.5</v>
      </c>
      <c r="BQ2" s="25">
        <v>1475</v>
      </c>
      <c r="BR2" s="25">
        <v>261.10000000000002</v>
      </c>
      <c r="BS2" s="25"/>
      <c r="BT2" s="25"/>
      <c r="BU2" s="25"/>
      <c r="BV2" s="63" t="s">
        <v>87</v>
      </c>
      <c r="BW2" s="25">
        <f>BX2/BX20*100</f>
        <v>15.777925325787024</v>
      </c>
      <c r="BX2" s="25">
        <f t="shared" ref="BX2:BX20" si="8">SUM(BY2:CD2)</f>
        <v>5466</v>
      </c>
      <c r="BY2" s="25">
        <v>1610.4</v>
      </c>
      <c r="BZ2" s="25">
        <v>1874.2</v>
      </c>
      <c r="CA2" s="25">
        <v>1820.9</v>
      </c>
      <c r="CB2" s="25">
        <v>160.5</v>
      </c>
      <c r="CC2" s="25"/>
      <c r="CD2" s="25"/>
      <c r="CE2" s="25"/>
      <c r="CF2" s="63" t="s">
        <v>87</v>
      </c>
      <c r="CG2" s="25">
        <f>CH2/CH20*100</f>
        <v>15.991542336373044</v>
      </c>
      <c r="CH2" s="25">
        <f t="shared" ref="CH2:CH20" si="9">SUM(CI2:CN2)</f>
        <v>5657.2</v>
      </c>
      <c r="CI2" s="25">
        <v>1697.4</v>
      </c>
      <c r="CJ2" s="25">
        <v>1937.5</v>
      </c>
      <c r="CK2" s="25">
        <v>1865.1</v>
      </c>
      <c r="CL2" s="25">
        <v>157.19999999999999</v>
      </c>
      <c r="CM2" s="25"/>
      <c r="CN2" s="25"/>
      <c r="CO2" s="25"/>
      <c r="CP2" s="63" t="s">
        <v>87</v>
      </c>
      <c r="CQ2" s="25">
        <f>CR2/CR20*100</f>
        <v>17.990704497983586</v>
      </c>
      <c r="CR2" s="25">
        <f t="shared" ref="CR2:CR20" si="10">SUM(CS2:CX2)</f>
        <v>6495</v>
      </c>
      <c r="CS2" s="25">
        <v>1821.5</v>
      </c>
      <c r="CT2" s="25">
        <v>2103.3000000000002</v>
      </c>
      <c r="CU2" s="25">
        <v>2147.5</v>
      </c>
      <c r="CV2" s="25">
        <v>422.7</v>
      </c>
      <c r="CW2" s="25"/>
      <c r="CX2" s="25"/>
      <c r="CY2" s="25"/>
      <c r="CZ2" s="63" t="s">
        <v>87</v>
      </c>
      <c r="DA2" s="222">
        <f>DB2/DB20*100</f>
        <v>17.758289978835748</v>
      </c>
      <c r="DB2" s="222">
        <f t="shared" ref="DB2:DB19" si="11">SUM(DC2:DH2)</f>
        <v>6517.4</v>
      </c>
      <c r="DC2" s="222">
        <f>('ISPs (RV)'!J10)</f>
        <v>1245</v>
      </c>
      <c r="DD2" s="222">
        <f>('CableSatIPTV (RV)'!M19)</f>
        <v>2385.6999999999998</v>
      </c>
      <c r="DE2" s="222">
        <f>('Total TV Universe (RV)'!O3)</f>
        <v>2472.6</v>
      </c>
      <c r="DF2" s="222">
        <f>('Radio (RV)'!M3)</f>
        <v>414.1</v>
      </c>
      <c r="DG2" s="25"/>
      <c r="DH2" s="25"/>
      <c r="DI2" s="25"/>
      <c r="DJ2" s="25"/>
      <c r="DK2" s="25"/>
      <c r="DL2" s="25"/>
      <c r="DM2" s="25"/>
      <c r="DN2" s="25"/>
      <c r="DO2" s="25"/>
    </row>
    <row r="3" spans="1:119" ht="15.75" customHeight="1" x14ac:dyDescent="0.25">
      <c r="A3" s="25" t="s">
        <v>383</v>
      </c>
      <c r="B3" s="25">
        <f>C3/C25*100</f>
        <v>9.1699220282079033</v>
      </c>
      <c r="C3" s="25">
        <f t="shared" si="0"/>
        <v>584.5</v>
      </c>
      <c r="D3" s="25"/>
      <c r="E3" s="25"/>
      <c r="F3" s="25"/>
      <c r="G3" s="25">
        <v>584.5</v>
      </c>
      <c r="H3" s="25"/>
      <c r="I3" s="25" t="s">
        <v>383</v>
      </c>
      <c r="J3" s="25">
        <f>K3/K27*100</f>
        <v>8.7748537330132166</v>
      </c>
      <c r="K3" s="25">
        <f t="shared" si="1"/>
        <v>752.9</v>
      </c>
      <c r="L3" s="25"/>
      <c r="M3" s="25"/>
      <c r="N3" s="25"/>
      <c r="O3" s="25">
        <v>752.9</v>
      </c>
      <c r="P3" s="25"/>
      <c r="Q3" s="25" t="s">
        <v>383</v>
      </c>
      <c r="R3" s="25">
        <f>S3/S26*100</f>
        <v>8.6174776712051688</v>
      </c>
      <c r="S3" s="25">
        <f t="shared" si="2"/>
        <v>809.5</v>
      </c>
      <c r="T3" s="25"/>
      <c r="U3" s="25"/>
      <c r="V3" s="25"/>
      <c r="W3" s="25">
        <v>809.5</v>
      </c>
      <c r="X3" s="25"/>
      <c r="Y3" s="25" t="s">
        <v>385</v>
      </c>
      <c r="Z3" s="25">
        <f>AA3/AA21*100</f>
        <v>3.3598096387157312</v>
      </c>
      <c r="AA3" s="25">
        <f t="shared" si="3"/>
        <v>401</v>
      </c>
      <c r="AB3" s="25"/>
      <c r="AC3" s="25"/>
      <c r="AD3" s="25"/>
      <c r="AE3" s="25"/>
      <c r="AF3" s="25">
        <v>401</v>
      </c>
      <c r="AG3" s="25"/>
      <c r="AH3" s="25" t="s">
        <v>386</v>
      </c>
      <c r="AI3" s="25">
        <f>AJ3/AJ21*100</f>
        <v>3.4827549361991688</v>
      </c>
      <c r="AJ3" s="25">
        <f t="shared" si="4"/>
        <v>619.29999999999995</v>
      </c>
      <c r="AK3" s="25"/>
      <c r="AL3" s="25"/>
      <c r="AM3" s="25">
        <v>619.29999999999995</v>
      </c>
      <c r="AN3" s="25"/>
      <c r="AO3" s="25"/>
      <c r="AP3" s="25"/>
      <c r="AQ3" s="25"/>
      <c r="AR3" s="25" t="s">
        <v>16</v>
      </c>
      <c r="AS3" s="25">
        <f>AT3/AT21*100</f>
        <v>11.058470071643171</v>
      </c>
      <c r="AT3" s="25">
        <f t="shared" si="5"/>
        <v>2583.9</v>
      </c>
      <c r="AU3" s="25">
        <v>432.5</v>
      </c>
      <c r="AV3" s="25">
        <v>1574.5</v>
      </c>
      <c r="AW3" s="25">
        <v>349</v>
      </c>
      <c r="AX3" s="25">
        <v>227.9</v>
      </c>
      <c r="AY3" s="25"/>
      <c r="AZ3" s="25"/>
      <c r="BA3" s="25"/>
      <c r="BB3" s="25" t="s">
        <v>16</v>
      </c>
      <c r="BC3" s="25">
        <f>BD3/BD17*100</f>
        <v>11.185932317578771</v>
      </c>
      <c r="BD3" s="25">
        <f t="shared" si="6"/>
        <v>3453.5</v>
      </c>
      <c r="BE3" s="24">
        <v>714.1</v>
      </c>
      <c r="BF3" s="24">
        <v>1977.6</v>
      </c>
      <c r="BG3" s="25">
        <v>475.4</v>
      </c>
      <c r="BH3" s="24">
        <v>286.39999999999998</v>
      </c>
      <c r="BI3" s="25"/>
      <c r="BJ3" s="25"/>
      <c r="BK3" s="25"/>
      <c r="BL3" s="25" t="s">
        <v>17</v>
      </c>
      <c r="BM3" s="25">
        <f>BN3/BN15*100</f>
        <v>10.907732536421367</v>
      </c>
      <c r="BN3" s="25">
        <f t="shared" si="7"/>
        <v>2861.6</v>
      </c>
      <c r="BO3" s="25">
        <v>848</v>
      </c>
      <c r="BP3" s="25">
        <v>1765.8</v>
      </c>
      <c r="BQ3" s="25">
        <v>606.20000000000005</v>
      </c>
      <c r="BR3" s="25">
        <v>204.4</v>
      </c>
      <c r="BS3" s="25">
        <v>285.2</v>
      </c>
      <c r="BT3" s="25"/>
      <c r="BU3" s="25"/>
      <c r="BV3" s="25" t="s">
        <v>17</v>
      </c>
      <c r="BW3" s="25">
        <f>BX3/BX20*100</f>
        <v>11.461366684699954</v>
      </c>
      <c r="BX3" s="25">
        <f t="shared" si="8"/>
        <v>3970.6</v>
      </c>
      <c r="BY3" s="25">
        <v>926</v>
      </c>
      <c r="BZ3" s="25">
        <v>1830.6</v>
      </c>
      <c r="CA3" s="24">
        <v>719.3</v>
      </c>
      <c r="CB3" s="25">
        <v>220.8</v>
      </c>
      <c r="CC3" s="25">
        <v>273.89999999999998</v>
      </c>
      <c r="CD3" s="25"/>
      <c r="CE3" s="25"/>
      <c r="CF3" s="25" t="s">
        <v>17</v>
      </c>
      <c r="CG3" s="25">
        <f>CH3/CH20*100</f>
        <v>11.396927878064915</v>
      </c>
      <c r="CH3" s="25">
        <f t="shared" si="9"/>
        <v>4031.8</v>
      </c>
      <c r="CI3" s="25">
        <v>998</v>
      </c>
      <c r="CJ3" s="25">
        <v>1838.5</v>
      </c>
      <c r="CK3" s="24">
        <v>743.4</v>
      </c>
      <c r="CL3" s="25">
        <v>225.1</v>
      </c>
      <c r="CM3" s="25">
        <v>226.8</v>
      </c>
      <c r="CN3" s="25"/>
      <c r="CO3" s="25"/>
      <c r="CP3" s="25" t="s">
        <v>17</v>
      </c>
      <c r="CQ3" s="25">
        <f>CR3/CR20*100</f>
        <v>11.459483229962727</v>
      </c>
      <c r="CR3" s="25">
        <f t="shared" si="10"/>
        <v>4137.1000000000004</v>
      </c>
      <c r="CS3" s="25">
        <v>1159</v>
      </c>
      <c r="CT3" s="25">
        <v>1771.6</v>
      </c>
      <c r="CU3" s="24">
        <v>743.4</v>
      </c>
      <c r="CV3" s="25">
        <v>224.5</v>
      </c>
      <c r="CW3" s="25">
        <v>238.6</v>
      </c>
      <c r="CX3" s="25"/>
      <c r="CY3" s="25"/>
      <c r="CZ3" s="25" t="s">
        <v>17</v>
      </c>
      <c r="DA3" s="222">
        <f>DB3/DB20*100</f>
        <v>11.643677013311875</v>
      </c>
      <c r="DB3" s="222">
        <f t="shared" si="11"/>
        <v>4273.3</v>
      </c>
      <c r="DC3" s="222">
        <f>('ISPs (RV)'!J4)</f>
        <v>1365</v>
      </c>
      <c r="DD3" s="222">
        <f>('CableSatIPTV (RV)'!M22)</f>
        <v>1734</v>
      </c>
      <c r="DE3" s="222">
        <f>('Total TV Universe (RV)'!O26)</f>
        <v>744.9</v>
      </c>
      <c r="DF3" s="222">
        <f>('Radio (RV)'!M13)</f>
        <v>228.5</v>
      </c>
      <c r="DG3" s="222">
        <f>('Magazines (RV)'!M3)</f>
        <v>200.9</v>
      </c>
      <c r="DH3" s="25"/>
      <c r="DI3" s="25"/>
      <c r="DJ3" s="25"/>
      <c r="DK3" s="25"/>
      <c r="DL3" s="25"/>
      <c r="DM3" s="25"/>
      <c r="DN3" s="25"/>
      <c r="DO3" s="25"/>
    </row>
    <row r="4" spans="1:119" ht="15.75" customHeight="1" x14ac:dyDescent="0.25">
      <c r="A4" s="25" t="s">
        <v>408</v>
      </c>
      <c r="B4" s="25">
        <f>C4/C25*100</f>
        <v>6.1279239422036049</v>
      </c>
      <c r="C4" s="25">
        <f t="shared" si="0"/>
        <v>390.6</v>
      </c>
      <c r="D4" s="25"/>
      <c r="E4" s="25"/>
      <c r="F4" s="25"/>
      <c r="G4" s="25">
        <v>390.6</v>
      </c>
      <c r="H4" s="25"/>
      <c r="I4" s="25" t="s">
        <v>408</v>
      </c>
      <c r="J4" s="25">
        <f>K4/K27*100</f>
        <v>6.1933288268338726</v>
      </c>
      <c r="K4" s="25">
        <f t="shared" si="1"/>
        <v>531.4</v>
      </c>
      <c r="L4" s="25"/>
      <c r="M4" s="25"/>
      <c r="N4" s="25"/>
      <c r="O4" s="25">
        <v>531.4</v>
      </c>
      <c r="P4" s="25"/>
      <c r="Q4" s="239" t="s">
        <v>415</v>
      </c>
      <c r="R4" s="25">
        <f>S4/S26*100</f>
        <v>6.8514004066555225</v>
      </c>
      <c r="S4" s="25">
        <f t="shared" si="2"/>
        <v>643.59999999999991</v>
      </c>
      <c r="T4" s="25">
        <v>176</v>
      </c>
      <c r="U4" s="25">
        <v>67</v>
      </c>
      <c r="V4" s="25">
        <v>35.4</v>
      </c>
      <c r="W4" s="25">
        <v>365.2</v>
      </c>
      <c r="X4" s="25"/>
      <c r="Y4" s="25" t="s">
        <v>178</v>
      </c>
      <c r="Z4" s="25">
        <f>AA4/AA21*100</f>
        <v>10.433842750854613</v>
      </c>
      <c r="AA4" s="25">
        <f t="shared" si="3"/>
        <v>1245.3</v>
      </c>
      <c r="AB4" s="25"/>
      <c r="AC4" s="25"/>
      <c r="AD4" s="24">
        <v>956.3</v>
      </c>
      <c r="AE4" s="25">
        <v>289</v>
      </c>
      <c r="AF4" s="25"/>
      <c r="AG4" s="25"/>
      <c r="AH4" s="25" t="s">
        <v>90</v>
      </c>
      <c r="AI4" s="25">
        <f>AJ4/AJ21*100</f>
        <v>6.257486545307307</v>
      </c>
      <c r="AJ4" s="25">
        <f t="shared" si="4"/>
        <v>1112.7</v>
      </c>
      <c r="AK4" s="25"/>
      <c r="AL4" s="25"/>
      <c r="AM4" s="25">
        <v>233.2</v>
      </c>
      <c r="AN4" s="25"/>
      <c r="AO4" s="25">
        <f>850.1+29.4</f>
        <v>879.5</v>
      </c>
      <c r="AP4" s="25"/>
      <c r="AQ4" s="25"/>
      <c r="AR4" s="25" t="s">
        <v>90</v>
      </c>
      <c r="AS4" s="25">
        <f>AT4/AT21*100</f>
        <v>9.3504181324842293</v>
      </c>
      <c r="AT4" s="25">
        <f t="shared" si="5"/>
        <v>2184.8000000000002</v>
      </c>
      <c r="AU4" s="25">
        <v>222.5</v>
      </c>
      <c r="AV4" s="25">
        <v>705.5</v>
      </c>
      <c r="AW4" s="25">
        <v>299.60000000000002</v>
      </c>
      <c r="AX4" s="25"/>
      <c r="AY4" s="25">
        <f>881.1+76.1</f>
        <v>957.2</v>
      </c>
      <c r="AZ4" s="25"/>
      <c r="BA4" s="25"/>
      <c r="BB4" s="63" t="s">
        <v>87</v>
      </c>
      <c r="BC4" s="25">
        <f>BD4/BD17*100</f>
        <v>8.7119739842454393</v>
      </c>
      <c r="BD4" s="25">
        <f t="shared" si="6"/>
        <v>2689.7</v>
      </c>
      <c r="BE4" s="24">
        <v>1257.9000000000001</v>
      </c>
      <c r="BF4" s="25">
        <v>1380.1</v>
      </c>
      <c r="BG4" s="24">
        <v>51.7</v>
      </c>
      <c r="BH4" s="25"/>
      <c r="BI4" s="25"/>
      <c r="BJ4" s="25"/>
      <c r="BK4" s="25"/>
      <c r="BL4" s="25" t="s">
        <v>32</v>
      </c>
      <c r="BM4" s="25">
        <f>BN4/BN15*100</f>
        <v>6.7776905308257041</v>
      </c>
      <c r="BN4" s="25">
        <f t="shared" si="7"/>
        <v>1778.1000000000001</v>
      </c>
      <c r="BO4" s="25">
        <v>1506.5</v>
      </c>
      <c r="BP4" s="25">
        <v>1718.9</v>
      </c>
      <c r="BQ4" s="25">
        <v>59.2</v>
      </c>
      <c r="BR4" s="25"/>
      <c r="BS4" s="25"/>
      <c r="BT4" s="25"/>
      <c r="BU4" s="25"/>
      <c r="BV4" s="25" t="s">
        <v>13</v>
      </c>
      <c r="BW4" s="25">
        <f>BX4/BX20*100</f>
        <v>2.6403344850891677</v>
      </c>
      <c r="BX4" s="25">
        <f t="shared" si="8"/>
        <v>914.7</v>
      </c>
      <c r="BY4" s="25">
        <v>644</v>
      </c>
      <c r="BZ4" s="25">
        <v>270.7</v>
      </c>
      <c r="CA4" s="25"/>
      <c r="CB4" s="25"/>
      <c r="CC4" s="25"/>
      <c r="CD4" s="25"/>
      <c r="CE4" s="25"/>
      <c r="CF4" s="25" t="s">
        <v>13</v>
      </c>
      <c r="CG4" s="25">
        <f>CH4/CH20*100</f>
        <v>3.2762139517528737</v>
      </c>
      <c r="CH4" s="25">
        <f t="shared" si="9"/>
        <v>1159</v>
      </c>
      <c r="CI4" s="25">
        <v>722.4</v>
      </c>
      <c r="CJ4" s="25">
        <v>436.6</v>
      </c>
      <c r="CK4" s="25"/>
      <c r="CL4" s="25"/>
      <c r="CM4" s="25"/>
      <c r="CN4" s="25"/>
      <c r="CO4" s="25"/>
      <c r="CP4" s="25" t="s">
        <v>13</v>
      </c>
      <c r="CQ4" s="25">
        <f>CR4/CR20*100</f>
        <v>3.6266711931039119</v>
      </c>
      <c r="CR4" s="25">
        <f t="shared" si="10"/>
        <v>1309.3</v>
      </c>
      <c r="CS4" s="25">
        <v>795.3</v>
      </c>
      <c r="CT4" s="25">
        <v>514</v>
      </c>
      <c r="CU4" s="25"/>
      <c r="CV4" s="25"/>
      <c r="CW4" s="25"/>
      <c r="CX4" s="25"/>
      <c r="CY4" s="25"/>
      <c r="CZ4" s="25" t="s">
        <v>13</v>
      </c>
      <c r="DA4" s="222">
        <f>DB4/DB20*100</f>
        <v>4.1945368118730046</v>
      </c>
      <c r="DB4" s="222">
        <f t="shared" si="11"/>
        <v>1539.4204199999999</v>
      </c>
      <c r="DC4" s="222">
        <f>('ISPs (RV)'!J15)</f>
        <v>880.221</v>
      </c>
      <c r="DD4" s="222">
        <f>('CableSatIPTV (RV)'!M35)</f>
        <v>659.19942000000003</v>
      </c>
      <c r="DE4" s="25"/>
      <c r="DF4" s="25"/>
      <c r="DG4" s="25"/>
      <c r="DH4" s="25"/>
      <c r="DI4" s="25"/>
      <c r="DJ4" s="626" t="s">
        <v>8</v>
      </c>
      <c r="DK4" s="623"/>
      <c r="DL4" s="623"/>
      <c r="DM4" s="25"/>
      <c r="DN4" s="25"/>
      <c r="DO4" s="25"/>
    </row>
    <row r="5" spans="1:119" ht="15.75" customHeight="1" x14ac:dyDescent="0.25">
      <c r="A5" s="239" t="s">
        <v>415</v>
      </c>
      <c r="B5" s="25">
        <f>C5/C25*100</f>
        <v>5.9475063146169651</v>
      </c>
      <c r="C5" s="25">
        <f t="shared" si="0"/>
        <v>379.1</v>
      </c>
      <c r="D5" s="25">
        <v>47.4</v>
      </c>
      <c r="E5" s="25">
        <v>34.799999999999997</v>
      </c>
      <c r="F5" s="25">
        <v>17.3</v>
      </c>
      <c r="G5" s="25">
        <f>125.9+153.7</f>
        <v>279.60000000000002</v>
      </c>
      <c r="H5" s="25"/>
      <c r="I5" s="63" t="s">
        <v>415</v>
      </c>
      <c r="J5" s="25">
        <f>K5/K27*100</f>
        <v>8.9799771567096336</v>
      </c>
      <c r="K5" s="25">
        <f t="shared" si="1"/>
        <v>770.50000000000011</v>
      </c>
      <c r="L5" s="25">
        <v>83.5</v>
      </c>
      <c r="M5" s="25">
        <v>48.1</v>
      </c>
      <c r="N5" s="25">
        <v>23</v>
      </c>
      <c r="O5" s="25">
        <f>337.6+278.3</f>
        <v>615.90000000000009</v>
      </c>
      <c r="P5" s="25"/>
      <c r="Q5" s="25" t="s">
        <v>408</v>
      </c>
      <c r="R5" s="25">
        <f>S5/S26*100</f>
        <v>5.292909077360358</v>
      </c>
      <c r="S5" s="25">
        <f t="shared" si="2"/>
        <v>497.2</v>
      </c>
      <c r="T5" s="25"/>
      <c r="U5" s="25"/>
      <c r="V5" s="25"/>
      <c r="W5" s="25">
        <v>497.2</v>
      </c>
      <c r="X5" s="25"/>
      <c r="Y5" s="63" t="s">
        <v>150</v>
      </c>
      <c r="Z5" s="25">
        <f>AA5/AA21*100</f>
        <v>7.1033581339231846</v>
      </c>
      <c r="AA5" s="25">
        <f t="shared" si="3"/>
        <v>847.8</v>
      </c>
      <c r="AB5" s="25">
        <v>1.9</v>
      </c>
      <c r="AC5" s="108">
        <v>634.70000000000005</v>
      </c>
      <c r="AD5" s="25">
        <v>211.2</v>
      </c>
      <c r="AE5" s="25"/>
      <c r="AF5" s="108"/>
      <c r="AG5" s="25"/>
      <c r="AH5" s="25" t="s">
        <v>16</v>
      </c>
      <c r="AI5" s="25">
        <f>AJ5/AJ21*100</f>
        <v>9.0389665896220315</v>
      </c>
      <c r="AJ5" s="25">
        <f t="shared" si="4"/>
        <v>1607.3000000000002</v>
      </c>
      <c r="AK5" s="25">
        <v>98.9</v>
      </c>
      <c r="AL5" s="25">
        <v>1190.4000000000001</v>
      </c>
      <c r="AM5" s="25">
        <v>151.30000000000001</v>
      </c>
      <c r="AN5" s="25">
        <v>166.7</v>
      </c>
      <c r="AO5" s="25"/>
      <c r="AP5" s="25"/>
      <c r="AQ5" s="25"/>
      <c r="AR5" s="25" t="s">
        <v>386</v>
      </c>
      <c r="AS5" s="25">
        <f>AT5/AT21*100</f>
        <v>8.1585051656694834</v>
      </c>
      <c r="AT5" s="25">
        <f t="shared" si="5"/>
        <v>1906.3</v>
      </c>
      <c r="AU5" s="25"/>
      <c r="AV5" s="25"/>
      <c r="AW5" s="25">
        <v>712.7</v>
      </c>
      <c r="AX5" s="25"/>
      <c r="AY5" s="25">
        <v>1193.5999999999999</v>
      </c>
      <c r="AZ5" s="25"/>
      <c r="BA5" s="25"/>
      <c r="BB5" s="63" t="s">
        <v>90</v>
      </c>
      <c r="BC5" s="25">
        <f>BD5/BD17*100</f>
        <v>9.3192889718076302</v>
      </c>
      <c r="BD5" s="25">
        <f t="shared" si="6"/>
        <v>2877.2000000000003</v>
      </c>
      <c r="BE5" s="24">
        <v>438.1</v>
      </c>
      <c r="BF5" s="24">
        <v>836.4</v>
      </c>
      <c r="BG5" s="24">
        <v>342.9</v>
      </c>
      <c r="BH5" s="25"/>
      <c r="BI5" s="25">
        <f>1181.4+78.4</f>
        <v>1259.8000000000002</v>
      </c>
      <c r="BJ5" s="25"/>
      <c r="BK5" s="25"/>
      <c r="BL5" s="25" t="s">
        <v>90</v>
      </c>
      <c r="BM5" s="25">
        <f>BN5/BN15*100</f>
        <v>9.2881156945407959</v>
      </c>
      <c r="BN5" s="25">
        <f t="shared" si="7"/>
        <v>2436.6999999999998</v>
      </c>
      <c r="BO5" s="25">
        <v>644.29999999999995</v>
      </c>
      <c r="BP5" s="25">
        <v>982</v>
      </c>
      <c r="BQ5" s="25">
        <v>344.9</v>
      </c>
      <c r="BR5" s="25"/>
      <c r="BS5" s="25">
        <f>1034.8+75</f>
        <v>1109.8</v>
      </c>
      <c r="BT5" s="25"/>
      <c r="BU5" s="25"/>
      <c r="BV5" s="25" t="s">
        <v>16</v>
      </c>
      <c r="BW5" s="25">
        <f>BX5/BX20*100</f>
        <v>14.811794406185683</v>
      </c>
      <c r="BX5" s="25">
        <f t="shared" si="8"/>
        <v>5131.2999999999993</v>
      </c>
      <c r="BY5" s="25">
        <v>976.6</v>
      </c>
      <c r="BZ5" s="25">
        <v>2369.6999999999998</v>
      </c>
      <c r="CA5" s="25">
        <v>1589.3</v>
      </c>
      <c r="CB5" s="25">
        <v>195.7</v>
      </c>
      <c r="CC5" s="25"/>
      <c r="CD5" s="25"/>
      <c r="CE5" s="25"/>
      <c r="CF5" s="25" t="s">
        <v>16</v>
      </c>
      <c r="CG5" s="25">
        <f>CH5/CH20*100</f>
        <v>13.860731226078551</v>
      </c>
      <c r="CH5" s="25">
        <f t="shared" si="9"/>
        <v>4903.3999999999996</v>
      </c>
      <c r="CI5" s="25">
        <v>1017</v>
      </c>
      <c r="CJ5" s="25">
        <v>2179.5</v>
      </c>
      <c r="CK5" s="25">
        <v>1515.5</v>
      </c>
      <c r="CL5" s="25">
        <v>191.4</v>
      </c>
      <c r="CM5" s="25"/>
      <c r="CN5" s="25"/>
      <c r="CO5" s="25"/>
      <c r="CP5" s="25" t="s">
        <v>16</v>
      </c>
      <c r="CQ5" s="25">
        <f>CR5/CR20*100</f>
        <v>13.635541344453243</v>
      </c>
      <c r="CR5" s="25">
        <f t="shared" si="10"/>
        <v>4922.7</v>
      </c>
      <c r="CS5" s="25">
        <v>1104.0999999999999</v>
      </c>
      <c r="CT5" s="25">
        <v>2124.1</v>
      </c>
      <c r="CU5" s="25">
        <v>1510.8</v>
      </c>
      <c r="CV5" s="25">
        <v>183.7</v>
      </c>
      <c r="CW5" s="25"/>
      <c r="CX5" s="25"/>
      <c r="CY5" s="25"/>
      <c r="CZ5" s="25" t="s">
        <v>16</v>
      </c>
      <c r="DA5" s="222">
        <f>DB5/DB20*100</f>
        <v>12.077729794118413</v>
      </c>
      <c r="DB5" s="222">
        <f t="shared" si="11"/>
        <v>4432.6000000000004</v>
      </c>
      <c r="DC5" s="222">
        <f>('ISPs (RV)'!J11)</f>
        <v>1142.5999999999999</v>
      </c>
      <c r="DD5" s="222">
        <f>('CableSatIPTV (RV)'!M3)</f>
        <v>2130.1</v>
      </c>
      <c r="DE5" s="222">
        <f>('Total TV Universe (RV)'!O18)</f>
        <v>987.3</v>
      </c>
      <c r="DF5" s="222">
        <f>('Radio (RV)'!M16)</f>
        <v>172.6</v>
      </c>
      <c r="DG5" s="25"/>
      <c r="DH5" s="25"/>
      <c r="DI5" s="25"/>
      <c r="DJ5" s="623"/>
      <c r="DK5" s="623"/>
      <c r="DL5" s="623"/>
      <c r="DM5" s="25"/>
      <c r="DN5" s="25"/>
      <c r="DO5" s="25"/>
    </row>
    <row r="6" spans="1:119" ht="15.75" customHeight="1" x14ac:dyDescent="0.25">
      <c r="A6" s="25" t="s">
        <v>462</v>
      </c>
      <c r="B6" s="25">
        <f>C6/C25*100</f>
        <v>4.949718391616071</v>
      </c>
      <c r="C6" s="25">
        <f t="shared" si="0"/>
        <v>315.5</v>
      </c>
      <c r="D6" s="25"/>
      <c r="E6" s="25"/>
      <c r="F6" s="25"/>
      <c r="G6" s="25">
        <v>315.5</v>
      </c>
      <c r="H6" s="25"/>
      <c r="I6" s="63" t="s">
        <v>150</v>
      </c>
      <c r="J6" s="25">
        <f>K6/K27*100</f>
        <v>4.0313745600335649</v>
      </c>
      <c r="K6" s="25">
        <f t="shared" si="1"/>
        <v>345.9</v>
      </c>
      <c r="L6" s="25">
        <v>245</v>
      </c>
      <c r="M6" s="25">
        <v>100.9</v>
      </c>
      <c r="N6" s="25"/>
      <c r="O6" s="25"/>
      <c r="P6" s="25"/>
      <c r="Q6" s="25" t="s">
        <v>17</v>
      </c>
      <c r="R6" s="25">
        <f>S6/S26*100</f>
        <v>6.7502687971725734</v>
      </c>
      <c r="S6" s="25">
        <f t="shared" si="2"/>
        <v>634.1</v>
      </c>
      <c r="T6" s="25">
        <v>509.4</v>
      </c>
      <c r="U6" s="25">
        <v>88.7</v>
      </c>
      <c r="V6" s="25">
        <v>36</v>
      </c>
      <c r="W6" s="25"/>
      <c r="X6" s="25"/>
      <c r="Y6" s="25" t="s">
        <v>16</v>
      </c>
      <c r="Z6" s="25">
        <f>AA6/AA21*100</f>
        <v>5.0908237817548097</v>
      </c>
      <c r="AA6" s="25">
        <f t="shared" si="3"/>
        <v>607.6</v>
      </c>
      <c r="AB6" s="25"/>
      <c r="AC6" s="25">
        <v>534.4</v>
      </c>
      <c r="AD6" s="25">
        <v>24.6</v>
      </c>
      <c r="AE6" s="25">
        <v>48.6</v>
      </c>
      <c r="AF6" s="25"/>
      <c r="AG6" s="25"/>
      <c r="AH6" s="25" t="s">
        <v>17</v>
      </c>
      <c r="AI6" s="25">
        <f>AJ6/AJ21*100</f>
        <v>9.4281263532018489</v>
      </c>
      <c r="AJ6" s="25">
        <f t="shared" si="4"/>
        <v>1676.4999999999998</v>
      </c>
      <c r="AK6" s="25">
        <v>111.5</v>
      </c>
      <c r="AL6" s="25">
        <v>1121.0999999999999</v>
      </c>
      <c r="AM6" s="25">
        <v>151.30000000000001</v>
      </c>
      <c r="AN6" s="25">
        <v>141.1</v>
      </c>
      <c r="AO6" s="25">
        <v>151.5</v>
      </c>
      <c r="AP6" s="25"/>
      <c r="AQ6" s="25"/>
      <c r="AR6" s="25" t="s">
        <v>17</v>
      </c>
      <c r="AS6" s="25">
        <f>AT6/AT21*100</f>
        <v>9.8472981879499102</v>
      </c>
      <c r="AT6" s="25">
        <f t="shared" si="5"/>
        <v>2300.9</v>
      </c>
      <c r="AU6" s="25">
        <v>378.9</v>
      </c>
      <c r="AV6" s="25">
        <v>1253.0999999999999</v>
      </c>
      <c r="AW6" s="25">
        <v>185.6</v>
      </c>
      <c r="AX6" s="25">
        <v>204.7</v>
      </c>
      <c r="AY6" s="25">
        <v>278.60000000000002</v>
      </c>
      <c r="AZ6" s="25"/>
      <c r="BA6" s="25"/>
      <c r="BB6" s="25" t="s">
        <v>386</v>
      </c>
      <c r="BC6" s="25">
        <f>BD6/BD17*100</f>
        <v>7.5426901948590359</v>
      </c>
      <c r="BD6" s="25">
        <f t="shared" si="6"/>
        <v>2328.6999999999998</v>
      </c>
      <c r="BE6" s="25"/>
      <c r="BF6" s="25"/>
      <c r="BG6" s="24">
        <v>1030.7</v>
      </c>
      <c r="BH6" s="25"/>
      <c r="BI6" s="24">
        <v>1298</v>
      </c>
      <c r="BJ6" s="25"/>
      <c r="BK6" s="25"/>
      <c r="BL6" s="63" t="s">
        <v>469</v>
      </c>
      <c r="BM6" s="25">
        <f>BN6/BN15*100</f>
        <v>8.5703612786167902</v>
      </c>
      <c r="BN6" s="25">
        <f t="shared" si="7"/>
        <v>2248.4</v>
      </c>
      <c r="BO6" s="25"/>
      <c r="BP6" s="25"/>
      <c r="BQ6" s="25">
        <v>1691.8000000000002</v>
      </c>
      <c r="BR6" s="25">
        <v>161.19999999999999</v>
      </c>
      <c r="BS6" s="25">
        <v>395.4</v>
      </c>
      <c r="BT6" s="25"/>
      <c r="BU6" s="25"/>
      <c r="BV6" s="63" t="s">
        <v>90</v>
      </c>
      <c r="BW6" s="25">
        <f>BX6/BX20*100</f>
        <v>9.2306347615809994</v>
      </c>
      <c r="BX6" s="25">
        <f t="shared" si="8"/>
        <v>3197.8</v>
      </c>
      <c r="BY6" s="25">
        <v>689.2</v>
      </c>
      <c r="BZ6" s="25">
        <v>1040.9000000000001</v>
      </c>
      <c r="CA6" s="25">
        <v>378.7</v>
      </c>
      <c r="CB6" s="25"/>
      <c r="CC6" s="25">
        <f>70.6+1018.4</f>
        <v>1089</v>
      </c>
      <c r="CD6" s="25"/>
      <c r="CE6" s="25"/>
      <c r="CF6" s="63" t="s">
        <v>90</v>
      </c>
      <c r="CG6" s="25">
        <f>CH6/CH20*100</f>
        <v>9.2596152215331227</v>
      </c>
      <c r="CH6" s="25">
        <f t="shared" si="9"/>
        <v>3275.7000000000003</v>
      </c>
      <c r="CI6" s="25">
        <v>772.5</v>
      </c>
      <c r="CJ6" s="25">
        <v>1086.3</v>
      </c>
      <c r="CK6" s="25">
        <v>389.5</v>
      </c>
      <c r="CL6" s="25"/>
      <c r="CM6" s="25">
        <f>960+67.4</f>
        <v>1027.4000000000001</v>
      </c>
      <c r="CN6" s="25"/>
      <c r="CO6" s="25"/>
      <c r="CP6" s="63" t="s">
        <v>90</v>
      </c>
      <c r="CQ6" s="25">
        <f>CR6/CR20*100</f>
        <v>8.9089303890476703</v>
      </c>
      <c r="CR6" s="25">
        <f t="shared" si="10"/>
        <v>3216.3</v>
      </c>
      <c r="CS6" s="25">
        <v>818.4</v>
      </c>
      <c r="CT6" s="25">
        <v>1090</v>
      </c>
      <c r="CU6" s="25">
        <v>380.1</v>
      </c>
      <c r="CV6" s="25"/>
      <c r="CW6" s="25">
        <f>67.9+859.9</f>
        <v>927.8</v>
      </c>
      <c r="CX6" s="25"/>
      <c r="CY6" s="25"/>
      <c r="CZ6" s="63" t="s">
        <v>90</v>
      </c>
      <c r="DA6" s="222">
        <f>DB6/DB20*100</f>
        <v>8.6320101041752313</v>
      </c>
      <c r="DB6" s="222">
        <f t="shared" si="11"/>
        <v>3168</v>
      </c>
      <c r="DC6" s="222">
        <f>('ISPs (RV)'!J13)</f>
        <v>868.3</v>
      </c>
      <c r="DD6" s="222">
        <f>('CableSatIPTV (RV)'!M27)</f>
        <v>1080</v>
      </c>
      <c r="DE6" s="222">
        <f>('Total TV Universe (RV)'!O29)</f>
        <v>392.3</v>
      </c>
      <c r="DF6" s="25"/>
      <c r="DG6" s="222">
        <f>('Magazines (RV)'!M8)+('Newspaper (RV)'!M4)</f>
        <v>827.4</v>
      </c>
      <c r="DH6" s="25"/>
      <c r="DI6" s="25"/>
      <c r="DJ6" s="623"/>
      <c r="DK6" s="623"/>
      <c r="DL6" s="623"/>
      <c r="DM6" s="25"/>
      <c r="DN6" s="25"/>
      <c r="DO6" s="25"/>
    </row>
    <row r="7" spans="1:119" ht="15.75" customHeight="1" x14ac:dyDescent="0.25">
      <c r="A7" s="25" t="s">
        <v>17</v>
      </c>
      <c r="B7" s="25">
        <f>C7/C25*100</f>
        <v>3.1816256412670016</v>
      </c>
      <c r="C7" s="25">
        <f t="shared" si="0"/>
        <v>202.79999999999998</v>
      </c>
      <c r="D7" s="25">
        <v>164.1</v>
      </c>
      <c r="E7" s="25">
        <v>15.7</v>
      </c>
      <c r="F7" s="25">
        <v>23</v>
      </c>
      <c r="G7" s="25"/>
      <c r="H7" s="25"/>
      <c r="I7" s="25" t="s">
        <v>17</v>
      </c>
      <c r="J7" s="25">
        <f>K7/K27*100</f>
        <v>4.2516491457075585</v>
      </c>
      <c r="K7" s="25">
        <f t="shared" si="1"/>
        <v>364.8</v>
      </c>
      <c r="L7" s="25">
        <v>277.8</v>
      </c>
      <c r="M7" s="25">
        <v>61.8</v>
      </c>
      <c r="N7" s="25">
        <v>25.2</v>
      </c>
      <c r="O7" s="25"/>
      <c r="P7" s="25"/>
      <c r="Q7" s="63" t="s">
        <v>489</v>
      </c>
      <c r="R7" s="25">
        <f>S7/S26*100</f>
        <v>4.8894471826862684</v>
      </c>
      <c r="S7" s="25">
        <f t="shared" si="2"/>
        <v>459.3</v>
      </c>
      <c r="T7" s="25">
        <v>292.3</v>
      </c>
      <c r="U7" s="25">
        <v>167</v>
      </c>
      <c r="V7" s="25"/>
      <c r="W7" s="25"/>
      <c r="X7" s="25"/>
      <c r="Y7" s="25" t="s">
        <v>408</v>
      </c>
      <c r="Z7" s="25">
        <f>AA7/AA21*100</f>
        <v>3.0983980159528119</v>
      </c>
      <c r="AA7" s="25">
        <f t="shared" si="3"/>
        <v>369.8</v>
      </c>
      <c r="AB7" s="25"/>
      <c r="AC7" s="25"/>
      <c r="AD7" s="25"/>
      <c r="AE7" s="25"/>
      <c r="AF7" s="25">
        <v>369.8</v>
      </c>
      <c r="AG7" s="25"/>
      <c r="AH7" s="25" t="s">
        <v>178</v>
      </c>
      <c r="AI7" s="25">
        <f>AJ7/AJ21*100</f>
        <v>8.6396841732323324</v>
      </c>
      <c r="AJ7" s="25">
        <f t="shared" si="4"/>
        <v>1536.3000000000002</v>
      </c>
      <c r="AK7" s="25"/>
      <c r="AL7" s="25"/>
      <c r="AM7" s="24">
        <v>1255.9000000000001</v>
      </c>
      <c r="AN7" s="25">
        <v>280.39999999999998</v>
      </c>
      <c r="AO7" s="25"/>
      <c r="AP7" s="25"/>
      <c r="AQ7" s="25"/>
      <c r="AR7" s="25" t="s">
        <v>178</v>
      </c>
      <c r="AS7" s="25">
        <f>AT7/AT21*100</f>
        <v>6.6464662027407586</v>
      </c>
      <c r="AT7" s="25">
        <f t="shared" si="5"/>
        <v>1553</v>
      </c>
      <c r="AU7" s="25"/>
      <c r="AV7" s="25"/>
      <c r="AW7" s="24">
        <v>1178.0999999999999</v>
      </c>
      <c r="AX7" s="25">
        <v>374.9</v>
      </c>
      <c r="AY7" s="25"/>
      <c r="AZ7" s="25"/>
      <c r="BA7" s="25"/>
      <c r="BB7" s="25" t="s">
        <v>499</v>
      </c>
      <c r="BC7" s="25">
        <f>BD7/BD17*100</f>
        <v>7.0610489220563846</v>
      </c>
      <c r="BD7" s="25">
        <f t="shared" si="6"/>
        <v>2180</v>
      </c>
      <c r="BE7" s="24"/>
      <c r="BF7" s="24"/>
      <c r="BG7" s="24">
        <v>1585.8</v>
      </c>
      <c r="BH7" s="24">
        <v>172.1</v>
      </c>
      <c r="BI7" s="24">
        <v>422.1</v>
      </c>
      <c r="BJ7" s="25"/>
      <c r="BK7" s="25"/>
      <c r="BL7" s="25" t="s">
        <v>178</v>
      </c>
      <c r="BM7" s="25">
        <f>BN7/BN15*100</f>
        <v>6.823050475326478</v>
      </c>
      <c r="BN7" s="25">
        <f t="shared" si="7"/>
        <v>1790</v>
      </c>
      <c r="BO7" s="25"/>
      <c r="BP7" s="25"/>
      <c r="BQ7" s="24">
        <v>1425.3</v>
      </c>
      <c r="BR7" s="25">
        <v>364.7</v>
      </c>
      <c r="BS7" s="25"/>
      <c r="BT7" s="25"/>
      <c r="BU7" s="25"/>
      <c r="BV7" s="25" t="s">
        <v>178</v>
      </c>
      <c r="BW7" s="25">
        <f>BX7/BX20*100</f>
        <v>5.2974110058332124</v>
      </c>
      <c r="BX7" s="25">
        <f t="shared" si="8"/>
        <v>1835.1999999999998</v>
      </c>
      <c r="BY7" s="25"/>
      <c r="BZ7" s="25"/>
      <c r="CA7" s="25">
        <v>1498.3</v>
      </c>
      <c r="CB7" s="25">
        <v>336.9</v>
      </c>
      <c r="CC7" s="25"/>
      <c r="CD7" s="25"/>
      <c r="CE7" s="25"/>
      <c r="CF7" s="25" t="s">
        <v>178</v>
      </c>
      <c r="CG7" s="25">
        <f>CH7/CH20*100</f>
        <v>5.253814711585755</v>
      </c>
      <c r="CH7" s="25">
        <f t="shared" si="9"/>
        <v>1858.6</v>
      </c>
      <c r="CI7" s="25"/>
      <c r="CJ7" s="25"/>
      <c r="CK7" s="25">
        <v>1532.8</v>
      </c>
      <c r="CL7" s="25">
        <v>325.8</v>
      </c>
      <c r="CM7" s="25"/>
      <c r="CN7" s="25"/>
      <c r="CO7" s="25"/>
      <c r="CP7" s="25" t="s">
        <v>178</v>
      </c>
      <c r="CQ7" s="25">
        <f>CR7/CR20*100</f>
        <v>5.1019366612526502</v>
      </c>
      <c r="CR7" s="25">
        <f t="shared" si="10"/>
        <v>1841.8999999999999</v>
      </c>
      <c r="CS7" s="25"/>
      <c r="CT7" s="25"/>
      <c r="CU7" s="25">
        <v>1537.1</v>
      </c>
      <c r="CV7" s="25">
        <v>304.8</v>
      </c>
      <c r="CW7" s="25"/>
      <c r="CX7" s="25"/>
      <c r="CY7" s="25"/>
      <c r="CZ7" s="25" t="s">
        <v>178</v>
      </c>
      <c r="DA7" s="222">
        <f>DB7/DB20*100</f>
        <v>4.6786693654922002</v>
      </c>
      <c r="DB7" s="222">
        <f t="shared" si="11"/>
        <v>1717.1000000000001</v>
      </c>
      <c r="DC7" s="25"/>
      <c r="DD7" s="25"/>
      <c r="DE7" s="222">
        <f>('Total TV Universe (RV)'!O25)</f>
        <v>1428.4</v>
      </c>
      <c r="DF7" s="222">
        <f>('Radio (RV)'!M12)</f>
        <v>288.7</v>
      </c>
      <c r="DG7" s="25"/>
      <c r="DH7" s="25"/>
      <c r="DI7" s="25"/>
      <c r="DJ7" s="623"/>
      <c r="DK7" s="623"/>
      <c r="DL7" s="623"/>
      <c r="DM7" s="25"/>
      <c r="DN7" s="25"/>
      <c r="DO7" s="25"/>
    </row>
    <row r="8" spans="1:119" ht="15.75" customHeight="1" x14ac:dyDescent="0.25">
      <c r="A8" s="25" t="s">
        <v>332</v>
      </c>
      <c r="B8" s="25">
        <f>C8/C25*100</f>
        <v>2.3171898777866677</v>
      </c>
      <c r="C8" s="25">
        <f t="shared" si="0"/>
        <v>147.69999999999999</v>
      </c>
      <c r="D8" s="25"/>
      <c r="E8" s="25">
        <v>147.69999999999999</v>
      </c>
      <c r="F8" s="25"/>
      <c r="G8" s="25"/>
      <c r="H8" s="25"/>
      <c r="I8" s="25" t="s">
        <v>462</v>
      </c>
      <c r="J8" s="25">
        <f>K8/K27*100</f>
        <v>4.7108459010279473</v>
      </c>
      <c r="K8" s="25">
        <f t="shared" si="1"/>
        <v>404.2</v>
      </c>
      <c r="L8" s="25"/>
      <c r="M8" s="25"/>
      <c r="N8" s="25"/>
      <c r="O8" s="25">
        <v>404.2</v>
      </c>
      <c r="P8" s="25"/>
      <c r="Q8" s="25" t="s">
        <v>462</v>
      </c>
      <c r="R8" s="25">
        <f>S8/S26*100</f>
        <v>4.3816600487560811</v>
      </c>
      <c r="S8" s="25">
        <f t="shared" si="2"/>
        <v>411.6</v>
      </c>
      <c r="T8" s="25"/>
      <c r="U8" s="25"/>
      <c r="V8" s="25"/>
      <c r="W8" s="25">
        <v>411.6</v>
      </c>
      <c r="X8" s="25"/>
      <c r="Y8" s="25" t="s">
        <v>532</v>
      </c>
      <c r="Z8" s="25">
        <f>AA8/AA21*100</f>
        <v>2.7289027414706077</v>
      </c>
      <c r="AA8" s="25">
        <f t="shared" si="3"/>
        <v>325.7</v>
      </c>
      <c r="AB8" s="25"/>
      <c r="AC8" s="25">
        <v>307.7</v>
      </c>
      <c r="AD8" s="25">
        <v>18</v>
      </c>
      <c r="AE8" s="25"/>
      <c r="AF8" s="25"/>
      <c r="AG8" s="25"/>
      <c r="AH8" s="25" t="s">
        <v>462</v>
      </c>
      <c r="AI8" s="25">
        <f>AJ8/AJ21*100</f>
        <v>4.7413381022275454</v>
      </c>
      <c r="AJ8" s="25">
        <f t="shared" si="4"/>
        <v>843.1</v>
      </c>
      <c r="AK8" s="25"/>
      <c r="AL8" s="25"/>
      <c r="AM8" s="25"/>
      <c r="AN8" s="25"/>
      <c r="AO8" s="25">
        <v>843.1</v>
      </c>
      <c r="AP8" s="25"/>
      <c r="AQ8" s="25"/>
      <c r="AR8" s="25" t="s">
        <v>462</v>
      </c>
      <c r="AS8" s="25">
        <f>AT8/AT21*100</f>
        <v>3.982316034546217</v>
      </c>
      <c r="AT8" s="25">
        <f t="shared" si="5"/>
        <v>930.5</v>
      </c>
      <c r="AU8" s="25"/>
      <c r="AV8" s="25"/>
      <c r="AW8" s="25"/>
      <c r="AX8" s="25"/>
      <c r="AY8" s="25">
        <v>930.5</v>
      </c>
      <c r="AZ8" s="25"/>
      <c r="BA8" s="25"/>
      <c r="BB8" s="25" t="s">
        <v>178</v>
      </c>
      <c r="BC8" s="25">
        <f>BD8/BD17*100</f>
        <v>5.7767801616915424</v>
      </c>
      <c r="BD8" s="25">
        <f t="shared" si="6"/>
        <v>1783.5</v>
      </c>
      <c r="BE8" s="25"/>
      <c r="BF8" s="25"/>
      <c r="BG8" s="24">
        <v>1386.9</v>
      </c>
      <c r="BH8" s="25">
        <v>396.6</v>
      </c>
      <c r="BI8" s="25"/>
      <c r="BJ8" s="25"/>
      <c r="BK8" s="25"/>
      <c r="BL8" s="25" t="s">
        <v>537</v>
      </c>
      <c r="BM8" s="25">
        <f>BN8/BN15*100</f>
        <v>4.0118774442911276</v>
      </c>
      <c r="BN8" s="25">
        <f t="shared" si="7"/>
        <v>1052.5</v>
      </c>
      <c r="BO8" s="25"/>
      <c r="BP8" s="25"/>
      <c r="BQ8" s="25"/>
      <c r="BR8" s="25"/>
      <c r="BS8" s="25">
        <v>1052.5</v>
      </c>
      <c r="BT8" s="25"/>
      <c r="BU8" s="25"/>
      <c r="BV8" s="25" t="s">
        <v>540</v>
      </c>
      <c r="BW8" s="25">
        <f>BX8/BX20*100</f>
        <v>0.49966316756197099</v>
      </c>
      <c r="BX8" s="25">
        <f t="shared" si="8"/>
        <v>173.1</v>
      </c>
      <c r="BY8" s="25">
        <v>102.5</v>
      </c>
      <c r="BZ8" s="25">
        <v>70.599999999999994</v>
      </c>
      <c r="CA8" s="25"/>
      <c r="CB8" s="25"/>
      <c r="CC8" s="25"/>
      <c r="CD8" s="25"/>
      <c r="CE8" s="25"/>
      <c r="CF8" s="25" t="s">
        <v>540</v>
      </c>
      <c r="CG8" s="25">
        <f>CH8/CH20*100</f>
        <v>0.53312679145866437</v>
      </c>
      <c r="CH8" s="25">
        <f t="shared" si="9"/>
        <v>188.6</v>
      </c>
      <c r="CI8" s="25">
        <v>110.1</v>
      </c>
      <c r="CJ8" s="25">
        <v>78.5</v>
      </c>
      <c r="CK8" s="25"/>
      <c r="CL8" s="25"/>
      <c r="CM8" s="25"/>
      <c r="CN8" s="25"/>
      <c r="CO8" s="25"/>
      <c r="CP8" s="25" t="s">
        <v>540</v>
      </c>
      <c r="CQ8" s="25">
        <f>CR8/CR20*100</f>
        <v>0.55315530227056542</v>
      </c>
      <c r="CR8" s="25">
        <f t="shared" si="10"/>
        <v>199.7</v>
      </c>
      <c r="CS8" s="25">
        <v>117.7</v>
      </c>
      <c r="CT8" s="25">
        <v>82</v>
      </c>
      <c r="CU8" s="25"/>
      <c r="CV8" s="25"/>
      <c r="CW8" s="25"/>
      <c r="CX8" s="25"/>
      <c r="CY8" s="25"/>
      <c r="CZ8" s="25" t="s">
        <v>540</v>
      </c>
      <c r="DA8" s="222">
        <f>DB8/DB20*100</f>
        <v>0.58227921693884055</v>
      </c>
      <c r="DB8" s="222">
        <f t="shared" si="11"/>
        <v>213.7</v>
      </c>
      <c r="DC8" s="222">
        <f>('ISPs (RV)'!J20)</f>
        <v>128.5</v>
      </c>
      <c r="DD8" s="222">
        <f>('CableSatIPTV (RV)'!M39)</f>
        <v>85.2</v>
      </c>
      <c r="DE8" s="25"/>
      <c r="DF8" s="25"/>
      <c r="DG8" s="25"/>
      <c r="DH8" s="25"/>
      <c r="DI8" s="25"/>
      <c r="DJ8" s="623"/>
      <c r="DK8" s="623"/>
      <c r="DL8" s="623"/>
      <c r="DM8" s="25"/>
      <c r="DN8" s="25"/>
      <c r="DO8" s="25"/>
    </row>
    <row r="9" spans="1:119" ht="15.75" customHeight="1" x14ac:dyDescent="0.25">
      <c r="A9" s="63" t="s">
        <v>471</v>
      </c>
      <c r="B9" s="25">
        <f>C9/C25*100</f>
        <v>1.9924381481307163</v>
      </c>
      <c r="C9" s="25">
        <f t="shared" si="0"/>
        <v>127</v>
      </c>
      <c r="D9" s="25"/>
      <c r="E9" s="25"/>
      <c r="F9" s="25"/>
      <c r="G9" s="25">
        <v>127</v>
      </c>
      <c r="H9" s="25"/>
      <c r="I9" s="239" t="s">
        <v>471</v>
      </c>
      <c r="J9" s="25">
        <f>K9/K27*100</f>
        <v>1.9778093750728416</v>
      </c>
      <c r="K9" s="25">
        <f t="shared" si="1"/>
        <v>169.7</v>
      </c>
      <c r="L9" s="25"/>
      <c r="M9" s="25"/>
      <c r="N9" s="25"/>
      <c r="O9" s="25">
        <v>169.7</v>
      </c>
      <c r="P9" s="25"/>
      <c r="Q9" s="25" t="s">
        <v>386</v>
      </c>
      <c r="R9" s="25">
        <f>S9/S26*100</f>
        <v>2.5964210055675609</v>
      </c>
      <c r="S9" s="25">
        <f t="shared" si="2"/>
        <v>243.9</v>
      </c>
      <c r="T9" s="25"/>
      <c r="U9" s="25">
        <v>243.9</v>
      </c>
      <c r="V9" s="25"/>
      <c r="W9" s="25"/>
      <c r="X9" s="25"/>
      <c r="Y9" s="25" t="s">
        <v>386</v>
      </c>
      <c r="Z9" s="25">
        <f>AA9/AA21*100</f>
        <v>2.9492593337355046</v>
      </c>
      <c r="AA9" s="25">
        <f t="shared" si="3"/>
        <v>352</v>
      </c>
      <c r="AB9" s="25"/>
      <c r="AC9" s="25"/>
      <c r="AD9" s="25">
        <v>352</v>
      </c>
      <c r="AE9" s="25"/>
      <c r="AF9" s="25"/>
      <c r="AG9" s="25"/>
      <c r="AH9" s="25" t="s">
        <v>20</v>
      </c>
      <c r="AI9" s="25">
        <f>AJ9/AJ21*100</f>
        <v>2.2967174486415964</v>
      </c>
      <c r="AJ9" s="25">
        <f t="shared" si="4"/>
        <v>408.40000000000003</v>
      </c>
      <c r="AK9" s="25">
        <v>30.1</v>
      </c>
      <c r="AL9" s="25">
        <v>341.1</v>
      </c>
      <c r="AM9" s="25">
        <v>37.200000000000003</v>
      </c>
      <c r="AN9" s="25"/>
      <c r="AO9" s="25"/>
      <c r="AP9" s="25"/>
      <c r="AQ9" s="25"/>
      <c r="AR9" s="25" t="s">
        <v>20</v>
      </c>
      <c r="AS9" s="25">
        <f>AT9/AT21*100</f>
        <v>3.257324808052795</v>
      </c>
      <c r="AT9" s="25">
        <f t="shared" si="5"/>
        <v>761.1</v>
      </c>
      <c r="AU9" s="25">
        <v>101.5</v>
      </c>
      <c r="AV9" s="25">
        <v>546.6</v>
      </c>
      <c r="AW9" s="25">
        <v>113</v>
      </c>
      <c r="AX9" s="25"/>
      <c r="AY9" s="25"/>
      <c r="AZ9" s="25"/>
      <c r="BA9" s="25"/>
      <c r="BB9" s="25" t="s">
        <v>462</v>
      </c>
      <c r="BC9" s="25">
        <f>BD9/BD17*100</f>
        <v>3.1858934494195692</v>
      </c>
      <c r="BD9" s="25">
        <f t="shared" si="6"/>
        <v>983.6</v>
      </c>
      <c r="BE9" s="25"/>
      <c r="BF9" s="25"/>
      <c r="BG9" s="25"/>
      <c r="BH9" s="25"/>
      <c r="BI9" s="25">
        <v>983.6</v>
      </c>
      <c r="BJ9" s="25"/>
      <c r="BK9" s="25"/>
      <c r="BL9" s="25" t="s">
        <v>103</v>
      </c>
      <c r="BM9" s="25">
        <f>BN9/BN15*100</f>
        <v>4.3435005679522467</v>
      </c>
      <c r="BN9" s="25">
        <f t="shared" si="7"/>
        <v>1139.5</v>
      </c>
      <c r="BO9" s="25"/>
      <c r="BP9" s="25"/>
      <c r="BQ9" s="25"/>
      <c r="BR9" s="25"/>
      <c r="BS9" s="25"/>
      <c r="BT9" s="25">
        <f>BT15/2</f>
        <v>1139.5</v>
      </c>
      <c r="BU9" s="25"/>
      <c r="BV9" s="25" t="s">
        <v>103</v>
      </c>
      <c r="BW9" s="25">
        <f>BX9/BX20*100</f>
        <v>3.8593278742365991</v>
      </c>
      <c r="BX9" s="25">
        <f t="shared" si="8"/>
        <v>1337</v>
      </c>
      <c r="BY9" s="25"/>
      <c r="BZ9" s="25"/>
      <c r="CA9" s="25"/>
      <c r="CB9" s="25"/>
      <c r="CC9" s="25"/>
      <c r="CD9" s="25">
        <v>1337</v>
      </c>
      <c r="CE9" s="25"/>
      <c r="CF9" s="25" t="s">
        <v>103</v>
      </c>
      <c r="CG9" s="25">
        <f>CH9/CH20*100</f>
        <v>4.3602761178419396</v>
      </c>
      <c r="CH9" s="25">
        <f t="shared" si="9"/>
        <v>1542.5</v>
      </c>
      <c r="CI9" s="25"/>
      <c r="CJ9" s="25"/>
      <c r="CK9" s="25"/>
      <c r="CL9" s="25"/>
      <c r="CM9" s="25"/>
      <c r="CN9" s="25">
        <v>1542.5</v>
      </c>
      <c r="CO9" s="25"/>
      <c r="CP9" s="25" t="s">
        <v>103</v>
      </c>
      <c r="CQ9" s="25">
        <f>CR9/CR20*100</f>
        <v>5.1811566995347658</v>
      </c>
      <c r="CR9" s="25">
        <f t="shared" si="10"/>
        <v>1870.5</v>
      </c>
      <c r="CS9" s="25"/>
      <c r="CT9" s="25"/>
      <c r="CU9" s="25"/>
      <c r="CV9" s="25"/>
      <c r="CW9" s="25"/>
      <c r="CX9" s="222">
        <f>CX20/2</f>
        <v>1870.5</v>
      </c>
      <c r="CY9" s="25"/>
      <c r="CZ9" s="25" t="s">
        <v>103</v>
      </c>
      <c r="DA9" s="222">
        <f>DB9/DB20*100</f>
        <v>5.1674896346490931</v>
      </c>
      <c r="DB9" s="222">
        <f t="shared" si="11"/>
        <v>1896.5</v>
      </c>
      <c r="DC9" s="25"/>
      <c r="DD9" s="25"/>
      <c r="DE9" s="25"/>
      <c r="DF9" s="25"/>
      <c r="DG9" s="25"/>
      <c r="DH9" s="347">
        <v>1896.5</v>
      </c>
      <c r="DI9" s="348"/>
      <c r="DJ9" s="623"/>
      <c r="DK9" s="623"/>
      <c r="DL9" s="623"/>
      <c r="DM9" s="348"/>
      <c r="DN9" s="348"/>
      <c r="DO9" s="348"/>
    </row>
    <row r="10" spans="1:119" ht="15.75" customHeight="1" x14ac:dyDescent="0.25">
      <c r="A10" s="25" t="s">
        <v>570</v>
      </c>
      <c r="B10" s="25">
        <f>C10/C25*100</f>
        <v>2.2058016033636116</v>
      </c>
      <c r="C10" s="25">
        <f t="shared" si="0"/>
        <v>140.6</v>
      </c>
      <c r="D10" s="25">
        <v>20.9</v>
      </c>
      <c r="E10" s="25">
        <v>95.5</v>
      </c>
      <c r="F10" s="25">
        <v>24.2</v>
      </c>
      <c r="G10" s="25"/>
      <c r="H10" s="25"/>
      <c r="I10" s="25" t="s">
        <v>332</v>
      </c>
      <c r="J10" s="25">
        <f>K10/K27*100</f>
        <v>2.6666045080534251</v>
      </c>
      <c r="K10" s="25">
        <f t="shared" si="1"/>
        <v>228.8</v>
      </c>
      <c r="L10" s="25"/>
      <c r="M10" s="25">
        <v>228.8</v>
      </c>
      <c r="N10" s="25"/>
      <c r="O10" s="25"/>
      <c r="P10" s="25"/>
      <c r="Q10" s="25" t="s">
        <v>532</v>
      </c>
      <c r="R10" s="25">
        <f>S10/S26*100</f>
        <v>2.4218359113022556</v>
      </c>
      <c r="S10" s="25">
        <f t="shared" si="2"/>
        <v>227.5</v>
      </c>
      <c r="T10" s="25"/>
      <c r="U10" s="25">
        <v>227.5</v>
      </c>
      <c r="V10" s="25"/>
      <c r="W10" s="25"/>
      <c r="X10" s="25"/>
      <c r="Y10" s="25" t="s">
        <v>462</v>
      </c>
      <c r="Z10" s="25">
        <f>AA10/AA21*100</f>
        <v>4.2630203096722301</v>
      </c>
      <c r="AA10" s="25">
        <f t="shared" si="3"/>
        <v>508.8</v>
      </c>
      <c r="AB10" s="25"/>
      <c r="AC10" s="25"/>
      <c r="AD10" s="25"/>
      <c r="AE10" s="25"/>
      <c r="AF10" s="25">
        <v>508.8</v>
      </c>
      <c r="AG10" s="25"/>
      <c r="AH10" s="25" t="s">
        <v>385</v>
      </c>
      <c r="AI10" s="25">
        <f>AJ10/AJ21*100</f>
        <v>5.9903609850465926</v>
      </c>
      <c r="AJ10" s="25">
        <f t="shared" si="4"/>
        <v>1065.2</v>
      </c>
      <c r="AK10" s="25"/>
      <c r="AL10" s="25"/>
      <c r="AM10" s="25"/>
      <c r="AN10" s="25"/>
      <c r="AO10" s="25">
        <v>1065.2</v>
      </c>
      <c r="AP10" s="25"/>
      <c r="AQ10" s="25"/>
      <c r="AR10" s="25" t="s">
        <v>349</v>
      </c>
      <c r="AS10" s="25">
        <f>AT10/AT21*100</f>
        <v>2.4505901788083437</v>
      </c>
      <c r="AT10" s="25">
        <f t="shared" si="5"/>
        <v>572.6</v>
      </c>
      <c r="AU10" s="25"/>
      <c r="AV10" s="25"/>
      <c r="AW10" s="25">
        <v>449.8</v>
      </c>
      <c r="AX10" s="25">
        <v>122.8</v>
      </c>
      <c r="AY10" s="25"/>
      <c r="AZ10" s="25"/>
      <c r="BA10" s="25"/>
      <c r="BB10" s="25" t="s">
        <v>20</v>
      </c>
      <c r="BC10" s="25">
        <f>BD10/BD17*100</f>
        <v>2.4655368988391375</v>
      </c>
      <c r="BD10" s="25">
        <f t="shared" si="6"/>
        <v>761.2</v>
      </c>
      <c r="BE10" s="24">
        <v>215.9</v>
      </c>
      <c r="BF10" s="24">
        <v>512.1</v>
      </c>
      <c r="BG10" s="25"/>
      <c r="BH10" s="25">
        <v>33.200000000000003</v>
      </c>
      <c r="BI10" s="25"/>
      <c r="BJ10" s="25"/>
      <c r="BK10" s="25"/>
      <c r="BL10" s="25" t="s">
        <v>20</v>
      </c>
      <c r="BM10" s="25">
        <f>BN10/BN15*100</f>
        <v>2.4978463555762236</v>
      </c>
      <c r="BN10" s="25">
        <f t="shared" si="7"/>
        <v>655.29999999999995</v>
      </c>
      <c r="BO10" s="25">
        <v>284.39999999999998</v>
      </c>
      <c r="BP10" s="25">
        <v>613.5</v>
      </c>
      <c r="BQ10" s="25"/>
      <c r="BR10" s="25">
        <v>41.8</v>
      </c>
      <c r="BS10" s="25"/>
      <c r="BT10" s="25"/>
      <c r="BU10" s="25"/>
      <c r="BV10" s="25" t="s">
        <v>577</v>
      </c>
      <c r="BW10" s="25">
        <f>BX10/BX20*100</f>
        <v>3.0334836671916539</v>
      </c>
      <c r="BX10" s="25">
        <f t="shared" si="8"/>
        <v>1050.8999999999999</v>
      </c>
      <c r="BY10" s="25">
        <v>307.8</v>
      </c>
      <c r="BZ10" s="25">
        <v>639.70000000000005</v>
      </c>
      <c r="CA10" s="25">
        <v>19.3</v>
      </c>
      <c r="CB10" s="25">
        <v>84.1</v>
      </c>
      <c r="CC10" s="25"/>
      <c r="CD10" s="25"/>
      <c r="CE10" s="25"/>
      <c r="CF10" s="25" t="s">
        <v>577</v>
      </c>
      <c r="CG10" s="25">
        <f>CH10/CH20*100</f>
        <v>3.1509885177039934</v>
      </c>
      <c r="CH10" s="25">
        <f t="shared" si="9"/>
        <v>1114.7</v>
      </c>
      <c r="CI10" s="25">
        <v>345.2</v>
      </c>
      <c r="CJ10" s="25">
        <v>652.70000000000005</v>
      </c>
      <c r="CK10" s="25">
        <v>21.4</v>
      </c>
      <c r="CL10" s="25">
        <v>95.4</v>
      </c>
      <c r="CM10" s="25"/>
      <c r="CN10" s="25"/>
      <c r="CO10" s="25"/>
      <c r="CP10" s="25" t="s">
        <v>577</v>
      </c>
      <c r="CQ10" s="25">
        <f>CR10/CR20*100</f>
        <v>3.0909664587066801</v>
      </c>
      <c r="CR10" s="25">
        <f t="shared" si="10"/>
        <v>1115.9000000000001</v>
      </c>
      <c r="CS10" s="25">
        <v>373</v>
      </c>
      <c r="CT10" s="25">
        <v>631.5</v>
      </c>
      <c r="CU10" s="25">
        <v>16.7</v>
      </c>
      <c r="CV10" s="25">
        <v>94.7</v>
      </c>
      <c r="CW10" s="25"/>
      <c r="CX10" s="25"/>
      <c r="CY10" s="25"/>
      <c r="CZ10" s="25" t="s">
        <v>577</v>
      </c>
      <c r="DA10" s="222">
        <f>DB10/DB20*100</f>
        <v>3.0261080876568847</v>
      </c>
      <c r="DB10" s="222">
        <f t="shared" si="11"/>
        <v>1110.5999999999999</v>
      </c>
      <c r="DC10" s="222">
        <f>('ISPs (RV)'!J17)</f>
        <v>395.4</v>
      </c>
      <c r="DD10" s="222">
        <f>('CableSatIPTV (RV)'!M33)</f>
        <v>600.5</v>
      </c>
      <c r="DE10" s="222">
        <f>('Total TV Universe (RV)'!O40)</f>
        <v>17.600000000000001</v>
      </c>
      <c r="DF10" s="222">
        <f>('Radio (RV)'!M21)</f>
        <v>97.1</v>
      </c>
      <c r="DG10" s="25"/>
      <c r="DH10" s="25"/>
      <c r="DI10" s="25"/>
      <c r="DJ10" s="623"/>
      <c r="DK10" s="623"/>
      <c r="DL10" s="623"/>
      <c r="DM10" s="25"/>
      <c r="DN10" s="25"/>
      <c r="DO10" s="25"/>
    </row>
    <row r="11" spans="1:119" ht="15.75" customHeight="1" x14ac:dyDescent="0.25">
      <c r="A11" s="25" t="s">
        <v>585</v>
      </c>
      <c r="B11" s="25">
        <f>C11/C25*100</f>
        <v>1.1656547591032458</v>
      </c>
      <c r="C11" s="25">
        <f t="shared" si="0"/>
        <v>74.3</v>
      </c>
      <c r="D11" s="25">
        <v>18.899999999999999</v>
      </c>
      <c r="E11" s="25">
        <v>55.4</v>
      </c>
      <c r="F11" s="25"/>
      <c r="G11" s="25"/>
      <c r="H11" s="25"/>
      <c r="I11" s="25" t="s">
        <v>386</v>
      </c>
      <c r="J11" s="25">
        <f>K11/K27*100</f>
        <v>1.6503111815575393</v>
      </c>
      <c r="K11" s="25">
        <f t="shared" si="1"/>
        <v>141.6</v>
      </c>
      <c r="L11" s="25"/>
      <c r="M11" s="25">
        <v>141.6</v>
      </c>
      <c r="N11" s="25"/>
      <c r="O11" s="25"/>
      <c r="P11" s="25"/>
      <c r="Q11" s="25" t="s">
        <v>332</v>
      </c>
      <c r="R11" s="25">
        <f>S11/S26*100</f>
        <v>1.7958844757656725</v>
      </c>
      <c r="S11" s="25">
        <f t="shared" si="2"/>
        <v>168.7</v>
      </c>
      <c r="T11" s="25"/>
      <c r="U11" s="25">
        <v>168.7</v>
      </c>
      <c r="V11" s="25"/>
      <c r="W11" s="25"/>
      <c r="X11" s="25"/>
      <c r="Y11" s="25" t="s">
        <v>587</v>
      </c>
      <c r="Z11" s="25">
        <f>AA11/AA21*100</f>
        <v>3.1059387358402035</v>
      </c>
      <c r="AA11" s="25">
        <f t="shared" si="3"/>
        <v>370.7</v>
      </c>
      <c r="AB11" s="25"/>
      <c r="AC11" s="25"/>
      <c r="AD11" s="25"/>
      <c r="AE11" s="25"/>
      <c r="AF11" s="25">
        <v>370.7</v>
      </c>
      <c r="AG11" s="25"/>
      <c r="AH11" s="239" t="s">
        <v>471</v>
      </c>
      <c r="AI11" s="25">
        <f>AJ11/AJ21*100</f>
        <v>2.310214319054769</v>
      </c>
      <c r="AJ11" s="25">
        <f t="shared" si="4"/>
        <v>410.8</v>
      </c>
      <c r="AK11" s="25"/>
      <c r="AL11" s="25"/>
      <c r="AM11" s="25"/>
      <c r="AN11" s="25"/>
      <c r="AO11" s="25">
        <v>410.8</v>
      </c>
      <c r="AP11" s="25"/>
      <c r="AQ11" s="25"/>
      <c r="AR11" s="239" t="s">
        <v>471</v>
      </c>
      <c r="AS11" s="25">
        <f>AT11/AT21*100</f>
        <v>2.1112052658158507</v>
      </c>
      <c r="AT11" s="25">
        <f t="shared" si="5"/>
        <v>493.3</v>
      </c>
      <c r="AU11" s="25"/>
      <c r="AV11" s="25"/>
      <c r="AW11" s="25"/>
      <c r="AX11" s="25"/>
      <c r="AY11" s="25">
        <v>493.3</v>
      </c>
      <c r="AZ11" s="25"/>
      <c r="BA11" s="25"/>
      <c r="BB11" s="25" t="s">
        <v>103</v>
      </c>
      <c r="BC11" s="25">
        <f>BD11/BD17*100</f>
        <v>2.6057861733001659</v>
      </c>
      <c r="BD11" s="25">
        <f t="shared" si="6"/>
        <v>804.5</v>
      </c>
      <c r="BE11" s="25"/>
      <c r="BF11" s="25"/>
      <c r="BG11" s="25"/>
      <c r="BH11" s="25"/>
      <c r="BI11" s="24"/>
      <c r="BJ11" s="25">
        <f>BJ17/2</f>
        <v>804.5</v>
      </c>
      <c r="BK11" s="25"/>
      <c r="BL11" s="25" t="s">
        <v>269</v>
      </c>
      <c r="BM11" s="25">
        <f>BN11/BN15*100</f>
        <v>3.2548618999336751</v>
      </c>
      <c r="BN11" s="25">
        <f t="shared" si="7"/>
        <v>853.9</v>
      </c>
      <c r="BO11" s="25"/>
      <c r="BP11" s="25"/>
      <c r="BQ11" s="25">
        <v>527.9</v>
      </c>
      <c r="BR11" s="25">
        <v>326</v>
      </c>
      <c r="BS11" s="25"/>
      <c r="BT11" s="25"/>
      <c r="BU11" s="25"/>
      <c r="BV11" s="25" t="s">
        <v>462</v>
      </c>
      <c r="BW11" s="25">
        <f>BX11/BX20*100</f>
        <v>2.8507645539237587</v>
      </c>
      <c r="BX11" s="25">
        <f t="shared" si="8"/>
        <v>987.6</v>
      </c>
      <c r="BY11" s="25"/>
      <c r="BZ11" s="25"/>
      <c r="CA11" s="25"/>
      <c r="CB11" s="25"/>
      <c r="CC11" s="25">
        <v>987.6</v>
      </c>
      <c r="CD11" s="25"/>
      <c r="CE11" s="25"/>
      <c r="CF11" s="25" t="s">
        <v>462</v>
      </c>
      <c r="CG11" s="25">
        <f>CH11/CH20*100</f>
        <v>2.5893114579858776</v>
      </c>
      <c r="CH11" s="25">
        <f t="shared" si="9"/>
        <v>916</v>
      </c>
      <c r="CI11" s="25"/>
      <c r="CJ11" s="25"/>
      <c r="CK11" s="25"/>
      <c r="CL11" s="25"/>
      <c r="CM11" s="25">
        <v>916</v>
      </c>
      <c r="CN11" s="25"/>
      <c r="CO11" s="25"/>
      <c r="CP11" s="25" t="s">
        <v>462</v>
      </c>
      <c r="CQ11" s="25">
        <f>CR11/CR20*100</f>
        <v>2.5774211755771717</v>
      </c>
      <c r="CR11" s="25">
        <f t="shared" si="10"/>
        <v>930.5</v>
      </c>
      <c r="CS11" s="25"/>
      <c r="CT11" s="25"/>
      <c r="CU11" s="25"/>
      <c r="CV11" s="25"/>
      <c r="CW11" s="25">
        <v>930.5</v>
      </c>
      <c r="CX11" s="25"/>
      <c r="CY11" s="25"/>
      <c r="CZ11" s="25" t="s">
        <v>462</v>
      </c>
      <c r="DA11" s="222">
        <f>DB11/DB20*100</f>
        <v>2.3381085449472114</v>
      </c>
      <c r="DB11" s="222">
        <f t="shared" si="11"/>
        <v>858.1</v>
      </c>
      <c r="DC11" s="25"/>
      <c r="DD11" s="25"/>
      <c r="DE11" s="25"/>
      <c r="DF11" s="25"/>
      <c r="DG11" s="222">
        <f>('Newspaper (RV)'!M3)</f>
        <v>858.1</v>
      </c>
      <c r="DH11" s="25"/>
      <c r="DI11" s="25"/>
      <c r="DJ11" s="623"/>
      <c r="DK11" s="623"/>
      <c r="DL11" s="623"/>
      <c r="DM11" s="25"/>
      <c r="DN11" s="25"/>
      <c r="DO11" s="25"/>
    </row>
    <row r="12" spans="1:119" ht="15.75" customHeight="1" x14ac:dyDescent="0.25">
      <c r="A12" s="25" t="s">
        <v>591</v>
      </c>
      <c r="B12" s="25">
        <f>C12/C25*100</f>
        <v>1.3303838973345254</v>
      </c>
      <c r="C12" s="25">
        <f t="shared" si="0"/>
        <v>84.8</v>
      </c>
      <c r="D12" s="108"/>
      <c r="E12" s="25">
        <v>84.8</v>
      </c>
      <c r="F12" s="25"/>
      <c r="G12" s="108"/>
      <c r="H12" s="25"/>
      <c r="I12" s="25" t="s">
        <v>570</v>
      </c>
      <c r="J12" s="25">
        <f>K12/K27*100</f>
        <v>1.7342253094333466</v>
      </c>
      <c r="K12" s="25">
        <f t="shared" si="1"/>
        <v>148.80000000000001</v>
      </c>
      <c r="L12" s="25"/>
      <c r="M12" s="25">
        <v>122.8</v>
      </c>
      <c r="N12" s="25">
        <v>26</v>
      </c>
      <c r="O12" s="25"/>
      <c r="P12" s="25"/>
      <c r="Q12" s="25" t="s">
        <v>20</v>
      </c>
      <c r="R12" s="25">
        <f>S12/S26*100</f>
        <v>1.1678039537136591</v>
      </c>
      <c r="S12" s="25">
        <f t="shared" si="2"/>
        <v>109.7</v>
      </c>
      <c r="T12" s="25">
        <v>109.7</v>
      </c>
      <c r="U12" s="25"/>
      <c r="V12" s="25"/>
      <c r="W12" s="25"/>
      <c r="X12" s="25"/>
      <c r="Y12" s="25" t="s">
        <v>349</v>
      </c>
      <c r="Z12" s="25">
        <f>AA12/AA21*100</f>
        <v>2.0041557745157181</v>
      </c>
      <c r="AA12" s="25">
        <f t="shared" si="3"/>
        <v>239.2</v>
      </c>
      <c r="AB12" s="25"/>
      <c r="AC12" s="25"/>
      <c r="AD12" s="25">
        <v>169.5</v>
      </c>
      <c r="AE12" s="25">
        <v>69.7</v>
      </c>
      <c r="AF12" s="25"/>
      <c r="AG12" s="25"/>
      <c r="AH12" s="25" t="s">
        <v>349</v>
      </c>
      <c r="AI12" s="25">
        <f>AJ12/AJ21*100</f>
        <v>2.0503995636011898</v>
      </c>
      <c r="AJ12" s="25">
        <f t="shared" si="4"/>
        <v>364.59999999999997</v>
      </c>
      <c r="AK12" s="25"/>
      <c r="AL12" s="25"/>
      <c r="AM12" s="25">
        <v>266.39999999999998</v>
      </c>
      <c r="AN12" s="25">
        <v>98.2</v>
      </c>
      <c r="AO12" s="25"/>
      <c r="AP12" s="25"/>
      <c r="AQ12" s="25"/>
      <c r="AR12" s="25" t="s">
        <v>269</v>
      </c>
      <c r="AS12" s="25">
        <f>AT12/AT21*100</f>
        <v>2.0979380119662072</v>
      </c>
      <c r="AT12" s="25">
        <f t="shared" si="5"/>
        <v>490.20000000000005</v>
      </c>
      <c r="AU12" s="25"/>
      <c r="AV12" s="25"/>
      <c r="AW12" s="25">
        <v>370.8</v>
      </c>
      <c r="AX12" s="25">
        <v>119.4</v>
      </c>
      <c r="AY12" s="25"/>
      <c r="AZ12" s="25"/>
      <c r="BA12" s="25"/>
      <c r="BB12" s="239" t="s">
        <v>471</v>
      </c>
      <c r="BC12" s="25">
        <f>BD12/BD17*100</f>
        <v>1.9000051824212272</v>
      </c>
      <c r="BD12" s="25">
        <f t="shared" si="6"/>
        <v>586.6</v>
      </c>
      <c r="BE12" s="25"/>
      <c r="BF12" s="25"/>
      <c r="BG12" s="25"/>
      <c r="BH12" s="25"/>
      <c r="BI12" s="24">
        <v>586.6</v>
      </c>
      <c r="BJ12" s="25"/>
      <c r="BK12" s="25"/>
      <c r="BL12" s="25" t="s">
        <v>13</v>
      </c>
      <c r="BM12" s="25">
        <f>BN12/BN15*100</f>
        <v>0.52830994183254176</v>
      </c>
      <c r="BN12" s="25">
        <f t="shared" si="7"/>
        <v>138.6</v>
      </c>
      <c r="BO12" s="25">
        <v>572.20000000000005</v>
      </c>
      <c r="BP12" s="24">
        <v>138.6</v>
      </c>
      <c r="BQ12" s="25"/>
      <c r="BR12" s="25"/>
      <c r="BS12" s="25"/>
      <c r="BT12" s="25"/>
      <c r="BU12" s="25"/>
      <c r="BV12" s="25" t="s">
        <v>19</v>
      </c>
      <c r="BW12" s="25">
        <f>BX12/BX20*100</f>
        <v>0.53256992729742147</v>
      </c>
      <c r="BX12" s="25">
        <f t="shared" si="8"/>
        <v>184.5</v>
      </c>
      <c r="BY12" s="25">
        <v>124.7</v>
      </c>
      <c r="BZ12" s="25">
        <v>59.8</v>
      </c>
      <c r="CA12" s="25"/>
      <c r="CB12" s="25"/>
      <c r="CC12" s="25"/>
      <c r="CD12" s="25"/>
      <c r="CE12" s="25"/>
      <c r="CF12" s="25" t="s">
        <v>19</v>
      </c>
      <c r="CG12" s="25">
        <f>CH12/CH20*100</f>
        <v>0.58316042989354433</v>
      </c>
      <c r="CH12" s="25">
        <f t="shared" si="9"/>
        <v>206.3</v>
      </c>
      <c r="CI12" s="25">
        <v>136</v>
      </c>
      <c r="CJ12" s="25">
        <v>70.3</v>
      </c>
      <c r="CK12" s="25"/>
      <c r="CL12" s="25"/>
      <c r="CM12" s="25"/>
      <c r="CN12" s="25"/>
      <c r="CO12" s="25"/>
      <c r="CP12" s="25" t="s">
        <v>19</v>
      </c>
      <c r="CQ12" s="25">
        <f>CR12/CR20*100</f>
        <v>0.58196258891860686</v>
      </c>
      <c r="CR12" s="25">
        <f t="shared" si="10"/>
        <v>210.1</v>
      </c>
      <c r="CS12" s="25">
        <v>140</v>
      </c>
      <c r="CT12" s="25">
        <v>70.099999999999994</v>
      </c>
      <c r="CU12" s="25"/>
      <c r="CV12" s="25"/>
      <c r="CW12" s="25"/>
      <c r="CX12" s="25"/>
      <c r="CY12" s="25"/>
      <c r="CZ12" s="25" t="s">
        <v>19</v>
      </c>
      <c r="DA12" s="222">
        <f>DB12/DB20*100</f>
        <v>0.6029833795449997</v>
      </c>
      <c r="DB12" s="222">
        <f t="shared" si="11"/>
        <v>221.29855309999999</v>
      </c>
      <c r="DC12" s="222">
        <f>('ISPs (RV)'!J19)</f>
        <v>141.35281599999999</v>
      </c>
      <c r="DD12" s="222">
        <f>('CableSatIPTV (RV)'!M38)</f>
        <v>79.945737100000002</v>
      </c>
      <c r="DE12" s="25"/>
      <c r="DF12" s="25"/>
      <c r="DG12" s="25"/>
      <c r="DH12" s="25"/>
      <c r="DI12" s="25"/>
      <c r="DJ12" s="623"/>
      <c r="DK12" s="623"/>
      <c r="DL12" s="623"/>
      <c r="DM12" s="25"/>
      <c r="DN12" s="25"/>
      <c r="DO12" s="25"/>
    </row>
    <row r="13" spans="1:119" ht="15.75" customHeight="1" x14ac:dyDescent="0.25">
      <c r="A13" s="25" t="s">
        <v>386</v>
      </c>
      <c r="B13" s="25">
        <f>C13/C25*100</f>
        <v>1.3303838973345254</v>
      </c>
      <c r="C13" s="25">
        <f t="shared" si="0"/>
        <v>84.8</v>
      </c>
      <c r="D13" s="25"/>
      <c r="E13" s="25">
        <v>84.8</v>
      </c>
      <c r="F13" s="25"/>
      <c r="G13" s="25"/>
      <c r="H13" s="25"/>
      <c r="I13" s="25" t="s">
        <v>385</v>
      </c>
      <c r="J13" s="25">
        <f>K13/K27*100</f>
        <v>0.90906971865457664</v>
      </c>
      <c r="K13" s="25">
        <f t="shared" si="1"/>
        <v>78</v>
      </c>
      <c r="L13" s="25"/>
      <c r="M13" s="25"/>
      <c r="N13" s="25"/>
      <c r="O13" s="25">
        <v>78</v>
      </c>
      <c r="P13" s="25"/>
      <c r="Q13" s="25" t="s">
        <v>16</v>
      </c>
      <c r="R13" s="25">
        <f>S13/S26*100</f>
        <v>1.8129171678891169</v>
      </c>
      <c r="S13" s="25">
        <f t="shared" si="2"/>
        <v>170.29999999999998</v>
      </c>
      <c r="T13" s="25">
        <v>164.6</v>
      </c>
      <c r="U13" s="25"/>
      <c r="V13" s="25">
        <v>5.7</v>
      </c>
      <c r="W13" s="25"/>
      <c r="X13" s="25"/>
      <c r="Y13" s="25" t="s">
        <v>332</v>
      </c>
      <c r="Z13" s="25">
        <f>AA13/AA21*100</f>
        <v>1.8114484885045912</v>
      </c>
      <c r="AA13" s="25">
        <f t="shared" si="3"/>
        <v>216.2</v>
      </c>
      <c r="AB13" s="25"/>
      <c r="AC13" s="25"/>
      <c r="AD13" s="25">
        <v>216.2</v>
      </c>
      <c r="AE13" s="25"/>
      <c r="AF13" s="25"/>
      <c r="AG13" s="25"/>
      <c r="AH13" s="25" t="s">
        <v>269</v>
      </c>
      <c r="AI13" s="25">
        <f>AJ13/AJ21*100</f>
        <v>1.3974884573639486</v>
      </c>
      <c r="AJ13" s="25">
        <f t="shared" si="4"/>
        <v>248.5</v>
      </c>
      <c r="AK13" s="25"/>
      <c r="AL13" s="25"/>
      <c r="AM13" s="25">
        <v>207.7</v>
      </c>
      <c r="AN13" s="25">
        <v>40.799999999999997</v>
      </c>
      <c r="AO13" s="25"/>
      <c r="AP13" s="25"/>
      <c r="AQ13" s="25"/>
      <c r="AR13" s="25" t="s">
        <v>597</v>
      </c>
      <c r="AS13" s="25">
        <f>AT13/AT21*100</f>
        <v>1.2248671134735383</v>
      </c>
      <c r="AT13" s="25">
        <f t="shared" si="5"/>
        <v>286.2</v>
      </c>
      <c r="AU13" s="25"/>
      <c r="AV13" s="25"/>
      <c r="AW13" s="25"/>
      <c r="AX13" s="25"/>
      <c r="AY13" s="25">
        <v>286.2</v>
      </c>
      <c r="AZ13" s="25"/>
      <c r="BA13" s="25"/>
      <c r="BB13" s="25" t="s">
        <v>13</v>
      </c>
      <c r="BC13" s="25">
        <f>BD13/BD17*100</f>
        <v>1.7471237562189053</v>
      </c>
      <c r="BD13" s="25">
        <f t="shared" si="6"/>
        <v>539.4</v>
      </c>
      <c r="BE13" s="24">
        <v>505.6</v>
      </c>
      <c r="BF13" s="24">
        <v>33.799999999999997</v>
      </c>
      <c r="BG13" s="25"/>
      <c r="BH13" s="25"/>
      <c r="BI13" s="25"/>
      <c r="BJ13" s="25"/>
      <c r="BK13" s="25"/>
      <c r="BL13" s="25" t="s">
        <v>471</v>
      </c>
      <c r="BM13" s="25">
        <f>BN13/BN15*100</f>
        <v>1.9973622620508793</v>
      </c>
      <c r="BN13" s="25">
        <f t="shared" si="7"/>
        <v>524</v>
      </c>
      <c r="BO13" s="25"/>
      <c r="BP13" s="25"/>
      <c r="BQ13" s="25"/>
      <c r="BR13" s="25"/>
      <c r="BS13" s="25">
        <v>524</v>
      </c>
      <c r="BT13" s="25"/>
      <c r="BU13" s="25"/>
      <c r="BV13" s="25" t="s">
        <v>598</v>
      </c>
      <c r="BW13" s="25">
        <f>BX13/BX20*100</f>
        <v>2.9416911268769765</v>
      </c>
      <c r="BX13" s="25">
        <f t="shared" si="8"/>
        <v>1019.1</v>
      </c>
      <c r="BY13" s="25"/>
      <c r="BZ13" s="25"/>
      <c r="CA13" s="25"/>
      <c r="CB13" s="25"/>
      <c r="CC13" s="25">
        <v>1019.1</v>
      </c>
      <c r="CD13" s="25"/>
      <c r="CE13" s="25"/>
      <c r="CF13" s="25" t="s">
        <v>598</v>
      </c>
      <c r="CG13" s="25">
        <f>CH13/CH20*100</f>
        <v>2.3515810064393574</v>
      </c>
      <c r="CH13" s="25">
        <f t="shared" si="9"/>
        <v>831.9</v>
      </c>
      <c r="CI13" s="25"/>
      <c r="CJ13" s="25"/>
      <c r="CK13" s="25"/>
      <c r="CL13" s="25"/>
      <c r="CM13" s="25">
        <v>831.9</v>
      </c>
      <c r="CN13" s="25"/>
      <c r="CO13" s="25"/>
      <c r="CP13" s="25" t="s">
        <v>598</v>
      </c>
      <c r="CQ13" s="25">
        <f>CR13/CR20*100</f>
        <v>2.081880446602689</v>
      </c>
      <c r="CR13" s="25">
        <f t="shared" si="10"/>
        <v>751.6</v>
      </c>
      <c r="CS13" s="25"/>
      <c r="CT13" s="25"/>
      <c r="CU13" s="25"/>
      <c r="CV13" s="25"/>
      <c r="CW13" s="25">
        <v>751.6</v>
      </c>
      <c r="CX13" s="25"/>
      <c r="CY13" s="25"/>
      <c r="CZ13" s="25" t="s">
        <v>598</v>
      </c>
      <c r="DA13" s="222">
        <f>DB13/DB20*100</f>
        <v>1.8372993728678528</v>
      </c>
      <c r="DB13" s="222">
        <f t="shared" si="11"/>
        <v>674.3</v>
      </c>
      <c r="DC13" s="25"/>
      <c r="DD13" s="25"/>
      <c r="DE13" s="25"/>
      <c r="DF13" s="25"/>
      <c r="DG13" s="222">
        <f>('Newspaper (RV)'!M7)</f>
        <v>674.3</v>
      </c>
      <c r="DH13" s="25"/>
      <c r="DI13" s="25"/>
      <c r="DJ13" s="623"/>
      <c r="DK13" s="623"/>
      <c r="DL13" s="623"/>
      <c r="DM13" s="25"/>
      <c r="DN13" s="25"/>
      <c r="DO13" s="25"/>
    </row>
    <row r="14" spans="1:119" ht="15.75" customHeight="1" x14ac:dyDescent="0.25">
      <c r="A14" s="25" t="s">
        <v>349</v>
      </c>
      <c r="B14" s="25">
        <f>C14/C25*100</f>
        <v>1.633171741892973</v>
      </c>
      <c r="C14" s="25">
        <f t="shared" si="0"/>
        <v>104.10000000000001</v>
      </c>
      <c r="D14" s="25"/>
      <c r="E14" s="25">
        <v>73.900000000000006</v>
      </c>
      <c r="F14" s="25">
        <v>30.2</v>
      </c>
      <c r="G14" s="25"/>
      <c r="H14" s="25"/>
      <c r="I14" s="25" t="s">
        <v>349</v>
      </c>
      <c r="J14" s="25">
        <f>K14/K27*100</f>
        <v>1.3169856180508612</v>
      </c>
      <c r="K14" s="25">
        <f t="shared" si="1"/>
        <v>113</v>
      </c>
      <c r="L14" s="25"/>
      <c r="M14" s="25">
        <v>113</v>
      </c>
      <c r="N14" s="25"/>
      <c r="O14" s="25"/>
      <c r="P14" s="25"/>
      <c r="Q14" s="239" t="s">
        <v>471</v>
      </c>
      <c r="R14" s="25">
        <f>S14/S26*100</f>
        <v>1.7224309909833184</v>
      </c>
      <c r="S14" s="25">
        <f t="shared" si="2"/>
        <v>161.80000000000001</v>
      </c>
      <c r="T14" s="25"/>
      <c r="U14" s="25"/>
      <c r="V14" s="25"/>
      <c r="W14" s="25">
        <v>161.80000000000001</v>
      </c>
      <c r="X14" s="25"/>
      <c r="Y14" s="25" t="s">
        <v>585</v>
      </c>
      <c r="Z14" s="25">
        <f>AA14/AA21*100</f>
        <v>2.0217507875862992</v>
      </c>
      <c r="AA14" s="25">
        <f t="shared" si="3"/>
        <v>241.29999999999998</v>
      </c>
      <c r="AB14" s="25"/>
      <c r="AC14" s="25">
        <v>130.6</v>
      </c>
      <c r="AD14" s="25">
        <v>65.099999999999994</v>
      </c>
      <c r="AE14" s="25"/>
      <c r="AF14" s="25">
        <v>45.6</v>
      </c>
      <c r="AG14" s="25"/>
      <c r="AH14" s="25" t="s">
        <v>408</v>
      </c>
      <c r="AI14" s="25">
        <f>AJ14/AJ21*100</f>
        <v>3.1470202846714916</v>
      </c>
      <c r="AJ14" s="25">
        <f t="shared" si="4"/>
        <v>559.6</v>
      </c>
      <c r="AK14" s="25"/>
      <c r="AL14" s="25"/>
      <c r="AM14" s="25"/>
      <c r="AN14" s="25"/>
      <c r="AO14" s="25">
        <v>559.6</v>
      </c>
      <c r="AP14" s="25"/>
      <c r="AQ14" s="25"/>
      <c r="AR14" s="63" t="s">
        <v>605</v>
      </c>
      <c r="AS14" s="25">
        <f>AT14/AT21*100</f>
        <v>1.0232904501450839</v>
      </c>
      <c r="AT14" s="25">
        <f t="shared" si="5"/>
        <v>239.1</v>
      </c>
      <c r="AU14" s="25"/>
      <c r="AV14" s="25"/>
      <c r="AW14" s="25">
        <v>239.1</v>
      </c>
      <c r="AX14" s="25"/>
      <c r="AY14" s="25"/>
      <c r="AZ14" s="25"/>
      <c r="BA14" s="25"/>
      <c r="BB14" s="63" t="s">
        <v>606</v>
      </c>
      <c r="BC14" s="25">
        <f>BD14/BD17*100</f>
        <v>0.4735437396351575</v>
      </c>
      <c r="BD14" s="25">
        <f t="shared" si="6"/>
        <v>146.19999999999999</v>
      </c>
      <c r="BE14" s="25">
        <v>146.19999999999999</v>
      </c>
      <c r="BF14" s="25"/>
      <c r="BG14" s="25"/>
      <c r="BH14" s="25"/>
      <c r="BI14" s="24"/>
      <c r="BJ14" s="25"/>
      <c r="BK14" s="25"/>
      <c r="BL14" s="63" t="s">
        <v>606</v>
      </c>
      <c r="BM14" s="25">
        <f>BN14/BN15*100</f>
        <v>1.1839326690706169</v>
      </c>
      <c r="BN14" s="25">
        <f t="shared" si="7"/>
        <v>310.60000000000002</v>
      </c>
      <c r="BO14" s="25">
        <v>173.9</v>
      </c>
      <c r="BP14" s="24">
        <v>310.60000000000002</v>
      </c>
      <c r="BQ14" s="25"/>
      <c r="BR14" s="25"/>
      <c r="BS14" s="25"/>
      <c r="BT14" s="25"/>
      <c r="BU14" s="25"/>
      <c r="BV14" s="253" t="s">
        <v>269</v>
      </c>
      <c r="BW14" s="25">
        <f>BX14/BX20*100</f>
        <v>2.5927062802089105</v>
      </c>
      <c r="BX14" s="25">
        <f t="shared" si="8"/>
        <v>898.2</v>
      </c>
      <c r="BY14" s="253"/>
      <c r="BZ14" s="253"/>
      <c r="CA14" s="253">
        <v>557.9</v>
      </c>
      <c r="CB14" s="253">
        <v>340.3</v>
      </c>
      <c r="CC14" s="253"/>
      <c r="CD14" s="253"/>
      <c r="CE14" s="253"/>
      <c r="CF14" s="253" t="s">
        <v>269</v>
      </c>
      <c r="CG14" s="25">
        <f>CH14/CH20*100</f>
        <v>2.5203385326858174</v>
      </c>
      <c r="CH14" s="25">
        <f t="shared" si="9"/>
        <v>891.6</v>
      </c>
      <c r="CI14" s="253"/>
      <c r="CJ14" s="253"/>
      <c r="CK14" s="253">
        <v>561.6</v>
      </c>
      <c r="CL14" s="253">
        <v>330</v>
      </c>
      <c r="CM14" s="253"/>
      <c r="CN14" s="253"/>
      <c r="CO14" s="25"/>
      <c r="CP14" s="253" t="s">
        <v>269</v>
      </c>
      <c r="CQ14" s="25">
        <f>CR14/CR20*100</f>
        <v>0</v>
      </c>
      <c r="CR14" s="25">
        <f t="shared" si="10"/>
        <v>0</v>
      </c>
      <c r="CS14" s="253"/>
      <c r="CT14" s="253"/>
      <c r="CU14" s="253"/>
      <c r="CV14" s="253"/>
      <c r="CW14" s="253"/>
      <c r="CX14" s="253"/>
      <c r="CY14" s="25"/>
      <c r="CZ14" s="253" t="s">
        <v>269</v>
      </c>
      <c r="DA14" s="222">
        <f>DB14/DB20*100</f>
        <v>0</v>
      </c>
      <c r="DB14" s="222">
        <f t="shared" si="11"/>
        <v>0</v>
      </c>
      <c r="DC14" s="25"/>
      <c r="DD14" s="25"/>
      <c r="DE14" s="25"/>
      <c r="DF14" s="25"/>
      <c r="DG14" s="25"/>
      <c r="DH14" s="25"/>
      <c r="DI14" s="25"/>
      <c r="DJ14" s="623"/>
      <c r="DK14" s="623"/>
      <c r="DL14" s="623"/>
      <c r="DM14" s="25"/>
      <c r="DN14" s="25"/>
      <c r="DO14" s="25"/>
    </row>
    <row r="15" spans="1:119" ht="15.75" customHeight="1" x14ac:dyDescent="0.25">
      <c r="A15" s="25" t="s">
        <v>519</v>
      </c>
      <c r="B15" s="25">
        <f>C15/C25*100</f>
        <v>0.88953734644891047</v>
      </c>
      <c r="C15" s="25">
        <f t="shared" si="0"/>
        <v>56.7</v>
      </c>
      <c r="D15" s="25"/>
      <c r="E15" s="25"/>
      <c r="F15" s="25"/>
      <c r="G15" s="25">
        <v>56.7</v>
      </c>
      <c r="H15" s="25"/>
      <c r="I15" s="25" t="s">
        <v>585</v>
      </c>
      <c r="J15" s="25">
        <f>K15/K27*100</f>
        <v>1.8321251252884547</v>
      </c>
      <c r="K15" s="25">
        <f t="shared" si="1"/>
        <v>157.19999999999999</v>
      </c>
      <c r="L15" s="25">
        <v>36.799999999999997</v>
      </c>
      <c r="M15" s="25">
        <v>67.400000000000006</v>
      </c>
      <c r="N15" s="25"/>
      <c r="O15" s="25">
        <v>53</v>
      </c>
      <c r="P15" s="25"/>
      <c r="Q15" s="25" t="s">
        <v>585</v>
      </c>
      <c r="R15" s="25">
        <f>S15/S26*100</f>
        <v>3.6513833739634007</v>
      </c>
      <c r="S15" s="25">
        <f t="shared" si="2"/>
        <v>343</v>
      </c>
      <c r="T15" s="25">
        <v>48.8</v>
      </c>
      <c r="U15" s="25">
        <v>105.5</v>
      </c>
      <c r="V15" s="25"/>
      <c r="W15" s="25">
        <v>188.7</v>
      </c>
      <c r="X15" s="25"/>
      <c r="Y15" s="239" t="s">
        <v>471</v>
      </c>
      <c r="Z15" s="25">
        <f>AA15/AA21*100</f>
        <v>1.5810376030565048</v>
      </c>
      <c r="AA15" s="25">
        <f t="shared" si="3"/>
        <v>188.7</v>
      </c>
      <c r="AB15" s="25"/>
      <c r="AC15" s="25"/>
      <c r="AD15" s="25"/>
      <c r="AE15" s="25"/>
      <c r="AF15" s="25">
        <v>188.7</v>
      </c>
      <c r="AG15" s="25"/>
      <c r="AH15" s="25" t="s">
        <v>419</v>
      </c>
      <c r="AI15" s="25">
        <f>AJ15/AJ21*100</f>
        <v>0.89360529527215871</v>
      </c>
      <c r="AJ15" s="25">
        <f t="shared" si="4"/>
        <v>158.9</v>
      </c>
      <c r="AK15" s="25"/>
      <c r="AL15" s="25">
        <v>158.9</v>
      </c>
      <c r="AM15" s="25"/>
      <c r="AN15" s="25"/>
      <c r="AO15" s="25"/>
      <c r="AP15" s="25"/>
      <c r="AQ15" s="25"/>
      <c r="AR15" s="25" t="s">
        <v>614</v>
      </c>
      <c r="AS15" s="25">
        <f>AT15/AT21*100</f>
        <v>0.69717279100223406</v>
      </c>
      <c r="AT15" s="25">
        <f t="shared" si="5"/>
        <v>162.9</v>
      </c>
      <c r="AU15" s="25"/>
      <c r="AV15" s="25"/>
      <c r="AW15" s="25"/>
      <c r="AX15" s="25">
        <v>162.9</v>
      </c>
      <c r="AY15" s="25"/>
      <c r="AZ15" s="25"/>
      <c r="BA15" s="25"/>
      <c r="BB15" s="25" t="s">
        <v>19</v>
      </c>
      <c r="BC15" s="25">
        <f>BD15/BD17*100</f>
        <v>0.41945221807628519</v>
      </c>
      <c r="BD15" s="25">
        <f t="shared" si="6"/>
        <v>129.5</v>
      </c>
      <c r="BE15" s="24">
        <v>89.8</v>
      </c>
      <c r="BF15" s="24">
        <v>39.700000000000003</v>
      </c>
      <c r="BG15" s="25"/>
      <c r="BH15" s="25"/>
      <c r="BI15" s="25"/>
      <c r="BJ15" s="25"/>
      <c r="BK15" s="25"/>
      <c r="BL15" s="56" t="s">
        <v>92</v>
      </c>
      <c r="BM15" s="56"/>
      <c r="BN15" s="56">
        <f t="shared" si="7"/>
        <v>26234.6</v>
      </c>
      <c r="BO15" s="56">
        <v>6800</v>
      </c>
      <c r="BP15" s="185">
        <v>7995.3</v>
      </c>
      <c r="BQ15" s="56">
        <v>6890</v>
      </c>
      <c r="BR15" s="56">
        <v>1992.2</v>
      </c>
      <c r="BS15" s="56">
        <f>4943.1+2135</f>
        <v>7078.1</v>
      </c>
      <c r="BT15" s="52">
        <v>2279</v>
      </c>
      <c r="BU15" s="25"/>
      <c r="BV15" s="63" t="s">
        <v>606</v>
      </c>
      <c r="BW15" s="25">
        <f>BX15/BX20*100</f>
        <v>1.4343306063636243</v>
      </c>
      <c r="BX15" s="25">
        <f t="shared" si="8"/>
        <v>496.9</v>
      </c>
      <c r="BY15" s="25">
        <v>170.5</v>
      </c>
      <c r="BZ15" s="25">
        <v>326.39999999999998</v>
      </c>
      <c r="CA15" s="25"/>
      <c r="CB15" s="25"/>
      <c r="CC15" s="24"/>
      <c r="CD15" s="25"/>
      <c r="CE15" s="25"/>
      <c r="CF15" s="63" t="s">
        <v>606</v>
      </c>
      <c r="CG15" s="25">
        <f>CH15/CH20*100</f>
        <v>1.4792431069476089</v>
      </c>
      <c r="CH15" s="25">
        <f t="shared" si="9"/>
        <v>523.29999999999995</v>
      </c>
      <c r="CI15" s="25">
        <v>191.6</v>
      </c>
      <c r="CJ15" s="25">
        <v>331.7</v>
      </c>
      <c r="CK15" s="25"/>
      <c r="CL15" s="25"/>
      <c r="CM15" s="24"/>
      <c r="CN15" s="25"/>
      <c r="CO15" s="25"/>
      <c r="CP15" s="63" t="s">
        <v>618</v>
      </c>
      <c r="CQ15" s="25">
        <f>CR15/CR20*100</f>
        <v>1.4819133035290561</v>
      </c>
      <c r="CR15" s="25">
        <f t="shared" si="10"/>
        <v>535</v>
      </c>
      <c r="CS15" s="25">
        <v>202.3</v>
      </c>
      <c r="CT15" s="25">
        <v>332.7</v>
      </c>
      <c r="CU15" s="25"/>
      <c r="CV15" s="25"/>
      <c r="CW15" s="24"/>
      <c r="CX15" s="25"/>
      <c r="CY15" s="25"/>
      <c r="CZ15" s="63" t="s">
        <v>606</v>
      </c>
      <c r="DA15" s="222">
        <f>DB15/DB20*100</f>
        <v>1.4550168546810522</v>
      </c>
      <c r="DB15" s="222">
        <f t="shared" si="11"/>
        <v>534</v>
      </c>
      <c r="DC15" s="222">
        <f>('ISPs (RV)'!J18)</f>
        <v>207.6</v>
      </c>
      <c r="DD15" s="222">
        <f>('CableSatIPTV (RV)'!M36)</f>
        <v>326.39999999999998</v>
      </c>
      <c r="DE15" s="25"/>
      <c r="DF15" s="25"/>
      <c r="DG15" s="25"/>
      <c r="DH15" s="25"/>
      <c r="DI15" s="25"/>
      <c r="DJ15" s="25"/>
      <c r="DK15" s="25"/>
      <c r="DL15" s="25"/>
      <c r="DM15" s="25"/>
      <c r="DN15" s="25"/>
      <c r="DO15" s="25"/>
    </row>
    <row r="16" spans="1:119" ht="18.75" customHeight="1" x14ac:dyDescent="0.25">
      <c r="A16" s="25" t="s">
        <v>532</v>
      </c>
      <c r="B16" s="25">
        <f>C16/C25*100</f>
        <v>0.91620777835302225</v>
      </c>
      <c r="C16" s="25">
        <f t="shared" si="0"/>
        <v>58.4</v>
      </c>
      <c r="D16" s="25"/>
      <c r="E16" s="25">
        <v>58.4</v>
      </c>
      <c r="F16" s="25"/>
      <c r="G16" s="25"/>
      <c r="H16" s="25"/>
      <c r="I16" s="25" t="s">
        <v>622</v>
      </c>
      <c r="J16" s="25">
        <f>K16/K27*100</f>
        <v>0.73424861891331195</v>
      </c>
      <c r="K16" s="25">
        <f t="shared" si="1"/>
        <v>63</v>
      </c>
      <c r="L16" s="25"/>
      <c r="M16" s="25"/>
      <c r="N16" s="25"/>
      <c r="O16" s="25">
        <v>63</v>
      </c>
      <c r="P16" s="25"/>
      <c r="Q16" s="25" t="s">
        <v>349</v>
      </c>
      <c r="R16" s="25">
        <f>S16/S26*100</f>
        <v>2.30367160969586</v>
      </c>
      <c r="S16" s="25">
        <f t="shared" si="2"/>
        <v>216.4</v>
      </c>
      <c r="T16" s="25"/>
      <c r="U16" s="25">
        <v>142.4</v>
      </c>
      <c r="V16" s="25">
        <v>74</v>
      </c>
      <c r="W16" s="25"/>
      <c r="X16" s="25"/>
      <c r="Y16" s="25" t="s">
        <v>20</v>
      </c>
      <c r="Z16" s="25">
        <f>AA16/AA21*100</f>
        <v>1.2819223808566256</v>
      </c>
      <c r="AA16" s="25">
        <f t="shared" si="3"/>
        <v>153</v>
      </c>
      <c r="AB16" s="25">
        <v>0.2</v>
      </c>
      <c r="AC16" s="25">
        <v>152.80000000000001</v>
      </c>
      <c r="AD16" s="25"/>
      <c r="AE16" s="25"/>
      <c r="AF16" s="25"/>
      <c r="AG16" s="25"/>
      <c r="AH16" s="25" t="s">
        <v>624</v>
      </c>
      <c r="AI16" s="25">
        <f>AJ16/AJ21*100</f>
        <v>0.63660238782132395</v>
      </c>
      <c r="AJ16" s="25">
        <f t="shared" si="4"/>
        <v>113.2</v>
      </c>
      <c r="AK16" s="25"/>
      <c r="AL16" s="25">
        <v>113.2</v>
      </c>
      <c r="AM16" s="25"/>
      <c r="AN16" s="25"/>
      <c r="AO16" s="25"/>
      <c r="AP16" s="25"/>
      <c r="AQ16" s="25"/>
      <c r="AR16" s="63" t="s">
        <v>626</v>
      </c>
      <c r="AS16" s="25">
        <f>AT16/AT21*100</f>
        <v>0</v>
      </c>
      <c r="AT16" s="25">
        <f t="shared" si="5"/>
        <v>0</v>
      </c>
      <c r="AU16" s="25"/>
      <c r="AV16" s="25"/>
      <c r="AW16" s="25"/>
      <c r="AX16" s="25"/>
      <c r="AY16" s="25"/>
      <c r="AZ16" s="25"/>
      <c r="BA16" s="25"/>
      <c r="BB16" s="25" t="s">
        <v>28</v>
      </c>
      <c r="BC16" s="25">
        <f>BD16/BD17*100</f>
        <v>0.43694288971807627</v>
      </c>
      <c r="BD16" s="25">
        <f t="shared" si="6"/>
        <v>134.9</v>
      </c>
      <c r="BE16" s="24">
        <v>84.9</v>
      </c>
      <c r="BF16" s="24">
        <v>50</v>
      </c>
      <c r="BG16" s="25"/>
      <c r="BH16" s="25"/>
      <c r="BI16" s="25"/>
      <c r="BJ16" s="25"/>
      <c r="BK16" s="25"/>
      <c r="BL16" s="25"/>
      <c r="BM16" s="25"/>
      <c r="BN16" s="25"/>
      <c r="BO16" s="25"/>
      <c r="BP16" s="25"/>
      <c r="BQ16" s="25"/>
      <c r="BR16" s="25"/>
      <c r="BS16" s="25"/>
      <c r="BT16" s="25"/>
      <c r="BU16" s="25"/>
      <c r="BV16" s="239" t="s">
        <v>471</v>
      </c>
      <c r="BW16" s="25">
        <f>BX16/BX20*100</f>
        <v>1.6317711647763269</v>
      </c>
      <c r="BX16" s="25">
        <f t="shared" si="8"/>
        <v>565.29999999999995</v>
      </c>
      <c r="BY16" s="25"/>
      <c r="BZ16" s="25"/>
      <c r="CA16" s="25"/>
      <c r="CB16" s="25"/>
      <c r="CC16" s="25">
        <v>565.29999999999995</v>
      </c>
      <c r="CD16" s="25"/>
      <c r="CE16" s="25"/>
      <c r="CF16" s="239" t="s">
        <v>471</v>
      </c>
      <c r="CG16" s="25">
        <f>CH16/CH20*100</f>
        <v>1.3200965620954201</v>
      </c>
      <c r="CH16" s="25">
        <f t="shared" si="9"/>
        <v>467</v>
      </c>
      <c r="CI16" s="25"/>
      <c r="CJ16" s="25"/>
      <c r="CK16" s="25"/>
      <c r="CL16" s="25"/>
      <c r="CM16" s="25">
        <v>467</v>
      </c>
      <c r="CN16" s="25"/>
      <c r="CO16" s="25"/>
      <c r="CP16" s="239" t="s">
        <v>471</v>
      </c>
      <c r="CQ16" s="25">
        <f>CR16/CR20*100</f>
        <v>1.0209967171603929</v>
      </c>
      <c r="CR16" s="25">
        <f t="shared" si="10"/>
        <v>368.6</v>
      </c>
      <c r="CS16" s="25"/>
      <c r="CT16" s="25"/>
      <c r="CU16" s="25"/>
      <c r="CV16" s="25"/>
      <c r="CW16" s="25">
        <v>368.6</v>
      </c>
      <c r="CX16" s="25"/>
      <c r="CY16" s="25"/>
      <c r="CZ16" s="474" t="s">
        <v>471</v>
      </c>
      <c r="DA16" s="222">
        <f>DB16/DB20*100</f>
        <v>0.95557005793379213</v>
      </c>
      <c r="DB16" s="222">
        <f t="shared" si="11"/>
        <v>350.7</v>
      </c>
      <c r="DC16" s="25"/>
      <c r="DD16" s="25"/>
      <c r="DE16" s="25"/>
      <c r="DF16" s="25"/>
      <c r="DG16" s="476">
        <f>('Newspaper (RV)'!M12)</f>
        <v>350.7</v>
      </c>
      <c r="DH16" s="25"/>
      <c r="DI16" s="25"/>
      <c r="DJ16" s="25"/>
      <c r="DK16" s="25"/>
      <c r="DL16" s="25"/>
      <c r="DM16" s="25"/>
      <c r="DN16" s="25"/>
      <c r="DO16" s="25"/>
    </row>
    <row r="17" spans="1:119" ht="15.75" customHeight="1" x14ac:dyDescent="0.25">
      <c r="A17" s="25" t="s">
        <v>622</v>
      </c>
      <c r="B17" s="25">
        <f>C17/C25*100</f>
        <v>0.72323935928209471</v>
      </c>
      <c r="C17" s="25">
        <f t="shared" si="0"/>
        <v>46.1</v>
      </c>
      <c r="D17" s="25"/>
      <c r="E17" s="25"/>
      <c r="F17" s="25"/>
      <c r="G17" s="25">
        <v>46.1</v>
      </c>
      <c r="H17" s="25"/>
      <c r="I17" s="25" t="s">
        <v>532</v>
      </c>
      <c r="J17" s="25">
        <f>K17/K27*100</f>
        <v>0.84496864874944633</v>
      </c>
      <c r="K17" s="25">
        <f t="shared" si="1"/>
        <v>72.5</v>
      </c>
      <c r="L17" s="25"/>
      <c r="M17" s="25">
        <v>72.5</v>
      </c>
      <c r="N17" s="25"/>
      <c r="O17" s="25"/>
      <c r="P17" s="25"/>
      <c r="Q17" s="25" t="s">
        <v>385</v>
      </c>
      <c r="R17" s="25">
        <f>S17/S26*100</f>
        <v>0.96873436452090222</v>
      </c>
      <c r="S17" s="25">
        <f t="shared" si="2"/>
        <v>91</v>
      </c>
      <c r="T17" s="25"/>
      <c r="U17" s="25"/>
      <c r="V17" s="25"/>
      <c r="W17" s="25">
        <v>91</v>
      </c>
      <c r="X17" s="25"/>
      <c r="Y17" s="25" t="s">
        <v>269</v>
      </c>
      <c r="Z17" s="25">
        <f>AA17/AA21*100</f>
        <v>0.92248139955761099</v>
      </c>
      <c r="AA17" s="25">
        <f t="shared" si="3"/>
        <v>110.1</v>
      </c>
      <c r="AB17" s="25"/>
      <c r="AC17" s="25"/>
      <c r="AD17" s="25">
        <v>110.1</v>
      </c>
      <c r="AE17" s="25"/>
      <c r="AF17" s="25"/>
      <c r="AG17" s="25"/>
      <c r="AH17" s="25" t="s">
        <v>622</v>
      </c>
      <c r="AI17" s="25">
        <f>AJ17/AJ21*100</f>
        <v>0</v>
      </c>
      <c r="AJ17" s="25">
        <f t="shared" si="4"/>
        <v>0</v>
      </c>
      <c r="AK17" s="25"/>
      <c r="AL17" s="25"/>
      <c r="AM17" s="25"/>
      <c r="AN17" s="25"/>
      <c r="AO17" s="25"/>
      <c r="AP17" s="25"/>
      <c r="AQ17" s="25"/>
      <c r="AR17" s="25" t="s">
        <v>633</v>
      </c>
      <c r="AS17" s="25">
        <f>AT17/AT21*100</f>
        <v>0.80716260517508498</v>
      </c>
      <c r="AT17" s="25">
        <f t="shared" si="5"/>
        <v>188.6</v>
      </c>
      <c r="AU17" s="25"/>
      <c r="AV17" s="25"/>
      <c r="AW17" s="25"/>
      <c r="AX17" s="25"/>
      <c r="AY17" s="25">
        <v>188.6</v>
      </c>
      <c r="AZ17" s="25"/>
      <c r="BA17" s="25"/>
      <c r="BB17" s="56" t="s">
        <v>92</v>
      </c>
      <c r="BC17" s="56"/>
      <c r="BD17" s="56">
        <f t="shared" si="6"/>
        <v>30873.600000000002</v>
      </c>
      <c r="BE17" s="44">
        <v>6200</v>
      </c>
      <c r="BF17" s="56">
        <v>6953.5</v>
      </c>
      <c r="BG17" s="56">
        <v>6312.9</v>
      </c>
      <c r="BH17" s="56">
        <v>1969.5</v>
      </c>
      <c r="BI17" s="56">
        <f>5434.3+2394.4</f>
        <v>7828.7000000000007</v>
      </c>
      <c r="BJ17" s="56">
        <v>1609</v>
      </c>
      <c r="BK17" s="25"/>
      <c r="BL17" s="25"/>
      <c r="BM17" s="25"/>
      <c r="BN17" s="25"/>
      <c r="BO17" s="25"/>
      <c r="BP17" s="25"/>
      <c r="BQ17" s="25"/>
      <c r="BR17" s="25"/>
      <c r="BS17" s="25"/>
      <c r="BT17" s="25"/>
      <c r="BU17" s="25"/>
      <c r="BV17" s="25" t="s">
        <v>192</v>
      </c>
      <c r="BW17" s="25">
        <f>BX17/BX20*100</f>
        <v>1.1436542287004792</v>
      </c>
      <c r="BX17" s="25">
        <f t="shared" si="8"/>
        <v>396.2</v>
      </c>
      <c r="BY17" s="25"/>
      <c r="BZ17" s="25"/>
      <c r="CA17" s="25"/>
      <c r="CB17" s="25"/>
      <c r="CC17" s="25">
        <v>396.2</v>
      </c>
      <c r="CD17" s="25"/>
      <c r="CE17" s="25"/>
      <c r="CF17" s="25" t="s">
        <v>192</v>
      </c>
      <c r="CG17" s="25">
        <f>CH17/CH20*100</f>
        <v>0.92011013053974156</v>
      </c>
      <c r="CH17" s="25">
        <f t="shared" si="9"/>
        <v>325.5</v>
      </c>
      <c r="CI17" s="25"/>
      <c r="CJ17" s="25"/>
      <c r="CK17" s="25"/>
      <c r="CL17" s="25"/>
      <c r="CM17" s="25">
        <v>325.5</v>
      </c>
      <c r="CN17" s="25"/>
      <c r="CO17" s="21"/>
      <c r="CP17" s="25" t="s">
        <v>192</v>
      </c>
      <c r="CQ17" s="25">
        <f>CR17/CR20*100</f>
        <v>0.75369833624346949</v>
      </c>
      <c r="CR17" s="25">
        <f t="shared" si="10"/>
        <v>272.10000000000002</v>
      </c>
      <c r="CS17" s="25"/>
      <c r="CT17" s="25"/>
      <c r="CU17" s="25"/>
      <c r="CV17" s="25"/>
      <c r="CW17" s="25">
        <v>272.10000000000002</v>
      </c>
      <c r="CX17" s="25"/>
      <c r="CY17" s="25"/>
      <c r="CZ17" s="25" t="s">
        <v>192</v>
      </c>
      <c r="DA17" s="222">
        <f>DB17/DB20*100</f>
        <v>0.67274093899017195</v>
      </c>
      <c r="DB17" s="222">
        <f t="shared" si="11"/>
        <v>246.9</v>
      </c>
      <c r="DC17" s="25"/>
      <c r="DD17" s="25"/>
      <c r="DE17" s="25"/>
      <c r="DF17" s="25"/>
      <c r="DG17" s="222">
        <f>('Newspaper (RV)'!M13)</f>
        <v>246.9</v>
      </c>
      <c r="DH17" s="25"/>
      <c r="DI17" s="25"/>
      <c r="DJ17" s="25"/>
      <c r="DK17" s="25"/>
      <c r="DL17" s="25"/>
      <c r="DM17" s="25"/>
      <c r="DN17" s="25"/>
      <c r="DO17" s="25"/>
    </row>
    <row r="18" spans="1:119" ht="15.75" customHeight="1" x14ac:dyDescent="0.25">
      <c r="A18" s="25" t="s">
        <v>635</v>
      </c>
      <c r="B18" s="25">
        <f>C18/C25*100</f>
        <v>0.66832964653833482</v>
      </c>
      <c r="C18" s="25">
        <f t="shared" si="0"/>
        <v>42.6</v>
      </c>
      <c r="D18" s="25"/>
      <c r="E18" s="25"/>
      <c r="F18" s="25"/>
      <c r="G18" s="25">
        <v>42.6</v>
      </c>
      <c r="H18" s="25"/>
      <c r="I18" s="25" t="s">
        <v>635</v>
      </c>
      <c r="J18" s="25">
        <f>K18/K27*100</f>
        <v>0.68180228899093254</v>
      </c>
      <c r="K18" s="25">
        <f t="shared" si="1"/>
        <v>58.5</v>
      </c>
      <c r="L18" s="25"/>
      <c r="M18" s="25"/>
      <c r="N18" s="25"/>
      <c r="O18" s="25">
        <v>58.5</v>
      </c>
      <c r="P18" s="25"/>
      <c r="Q18" s="25" t="s">
        <v>636</v>
      </c>
      <c r="R18" s="25">
        <f>S18/S26*100</f>
        <v>1.0123806380872287</v>
      </c>
      <c r="S18" s="25">
        <f t="shared" si="2"/>
        <v>95.1</v>
      </c>
      <c r="T18" s="25"/>
      <c r="U18" s="25">
        <v>95.1</v>
      </c>
      <c r="V18" s="25"/>
      <c r="W18" s="25"/>
      <c r="X18" s="25"/>
      <c r="Y18" s="25" t="s">
        <v>622</v>
      </c>
      <c r="Z18" s="25">
        <f>AA18/AA21*100</f>
        <v>0.61163616864401094</v>
      </c>
      <c r="AA18" s="25">
        <f t="shared" si="3"/>
        <v>73</v>
      </c>
      <c r="AB18" s="25"/>
      <c r="AC18" s="25"/>
      <c r="AD18" s="25"/>
      <c r="AE18" s="25"/>
      <c r="AF18" s="25">
        <v>73</v>
      </c>
      <c r="AG18" s="25"/>
      <c r="AH18" s="63" t="s">
        <v>605</v>
      </c>
      <c r="AI18" s="25">
        <f>AJ18/AJ21*100</f>
        <v>0.56968040535600795</v>
      </c>
      <c r="AJ18" s="25">
        <f t="shared" si="4"/>
        <v>101.3</v>
      </c>
      <c r="AK18" s="25"/>
      <c r="AL18" s="25"/>
      <c r="AM18" s="25">
        <v>101.3</v>
      </c>
      <c r="AN18" s="25"/>
      <c r="AO18" s="25"/>
      <c r="AP18" s="25"/>
      <c r="AQ18" s="25"/>
      <c r="AR18" s="25" t="s">
        <v>638</v>
      </c>
      <c r="AS18" s="25">
        <f>AT18/AT21*100</f>
        <v>0.54053360039031406</v>
      </c>
      <c r="AT18" s="25">
        <f t="shared" si="5"/>
        <v>126.3</v>
      </c>
      <c r="AU18" s="25"/>
      <c r="AV18" s="25"/>
      <c r="AW18" s="25"/>
      <c r="AX18" s="25"/>
      <c r="AY18" s="25">
        <v>126.3</v>
      </c>
      <c r="AZ18" s="25"/>
      <c r="BA18" s="25"/>
      <c r="BB18" s="25"/>
      <c r="BC18" s="25"/>
      <c r="BD18" s="25"/>
      <c r="BE18" s="24"/>
      <c r="BF18" s="24"/>
      <c r="BG18" s="24"/>
      <c r="BH18" s="25"/>
      <c r="BI18" s="24"/>
      <c r="BJ18" s="21"/>
      <c r="BK18" s="25"/>
      <c r="BL18" s="25"/>
      <c r="BM18" s="25"/>
      <c r="BN18" s="25"/>
      <c r="BO18" s="25"/>
      <c r="BP18" s="25"/>
      <c r="BQ18" s="25"/>
      <c r="BR18" s="21"/>
      <c r="BS18" s="25"/>
      <c r="BT18" s="25"/>
      <c r="BU18" s="25"/>
      <c r="BV18" s="25" t="s">
        <v>109</v>
      </c>
      <c r="BW18" s="25">
        <f>BX18/BX20*100</f>
        <v>0.46935430991089827</v>
      </c>
      <c r="BX18" s="25">
        <f t="shared" si="8"/>
        <v>162.6</v>
      </c>
      <c r="BY18" s="25"/>
      <c r="BZ18" s="25"/>
      <c r="CA18" s="25"/>
      <c r="CB18" s="25"/>
      <c r="CC18" s="25"/>
      <c r="CD18" s="25">
        <v>162.6</v>
      </c>
      <c r="CE18" s="25"/>
      <c r="CF18" s="25" t="s">
        <v>109</v>
      </c>
      <c r="CG18" s="25">
        <f>CH18/CH20*100</f>
        <v>0.64930659595999574</v>
      </c>
      <c r="CH18" s="25">
        <f t="shared" si="9"/>
        <v>229.7</v>
      </c>
      <c r="CI18" s="25"/>
      <c r="CJ18" s="25"/>
      <c r="CK18" s="25"/>
      <c r="CL18" s="25"/>
      <c r="CM18" s="25"/>
      <c r="CN18" s="25">
        <v>229.7</v>
      </c>
      <c r="CO18" s="21"/>
      <c r="CP18" s="25" t="s">
        <v>109</v>
      </c>
      <c r="CQ18" s="25">
        <f>CR18/CR20*100</f>
        <v>0.98415662942780113</v>
      </c>
      <c r="CR18" s="25">
        <f t="shared" si="10"/>
        <v>355.3</v>
      </c>
      <c r="CS18" s="25"/>
      <c r="CT18" s="25"/>
      <c r="CU18" s="25"/>
      <c r="CV18" s="25"/>
      <c r="CW18" s="25"/>
      <c r="CX18" s="25">
        <v>355.3</v>
      </c>
      <c r="CY18" s="25"/>
      <c r="CZ18" s="25" t="s">
        <v>109</v>
      </c>
      <c r="DA18" s="222">
        <f>DB18/DB20*100</f>
        <v>1.457741605345249</v>
      </c>
      <c r="DB18" s="222">
        <f t="shared" si="11"/>
        <v>535</v>
      </c>
      <c r="DC18" s="25"/>
      <c r="DD18" s="25"/>
      <c r="DE18" s="25"/>
      <c r="DF18" s="25"/>
      <c r="DG18" s="25"/>
      <c r="DH18" s="347">
        <v>535</v>
      </c>
      <c r="DI18" s="501"/>
      <c r="DJ18" s="501"/>
      <c r="DK18" s="501"/>
      <c r="DL18" s="501"/>
      <c r="DM18" s="501"/>
      <c r="DN18" s="501"/>
      <c r="DO18" s="501"/>
    </row>
    <row r="19" spans="1:119" ht="15.75" customHeight="1" x14ac:dyDescent="0.25">
      <c r="A19" s="25" t="s">
        <v>16</v>
      </c>
      <c r="B19" s="25">
        <f>C19/C25*100</f>
        <v>0.62910842314993487</v>
      </c>
      <c r="C19" s="25">
        <f t="shared" si="0"/>
        <v>40.1</v>
      </c>
      <c r="D19" s="25">
        <v>35</v>
      </c>
      <c r="E19" s="25"/>
      <c r="F19" s="25">
        <v>5.0999999999999996</v>
      </c>
      <c r="G19" s="25"/>
      <c r="H19" s="25"/>
      <c r="I19" s="25" t="s">
        <v>16</v>
      </c>
      <c r="J19" s="25">
        <f>K19/K27*100</f>
        <v>0.77737115684949065</v>
      </c>
      <c r="K19" s="25">
        <f t="shared" si="1"/>
        <v>66.7</v>
      </c>
      <c r="L19" s="25">
        <v>62.5</v>
      </c>
      <c r="M19" s="25"/>
      <c r="N19" s="25">
        <v>4.2</v>
      </c>
      <c r="O19" s="25"/>
      <c r="P19" s="25"/>
      <c r="Q19" s="25" t="s">
        <v>269</v>
      </c>
      <c r="R19" s="25">
        <f>S19/S26*100</f>
        <v>0.94637895610888145</v>
      </c>
      <c r="S19" s="25">
        <f t="shared" si="2"/>
        <v>88.9</v>
      </c>
      <c r="T19" s="25"/>
      <c r="U19" s="25">
        <v>88.9</v>
      </c>
      <c r="V19" s="25"/>
      <c r="W19" s="25"/>
      <c r="X19" s="25"/>
      <c r="Y19" s="25" t="s">
        <v>419</v>
      </c>
      <c r="Z19" s="25">
        <f>AA19/AA21*100</f>
        <v>0.56052684496279914</v>
      </c>
      <c r="AA19" s="25">
        <f t="shared" si="3"/>
        <v>66.900000000000006</v>
      </c>
      <c r="AB19" s="25"/>
      <c r="AC19" s="25">
        <v>47.1</v>
      </c>
      <c r="AD19" s="25">
        <v>19.8</v>
      </c>
      <c r="AE19" s="25"/>
      <c r="AF19" s="25"/>
      <c r="AG19" s="25"/>
      <c r="AH19" s="25" t="s">
        <v>644</v>
      </c>
      <c r="AI19" s="25">
        <f>AJ19/AJ21*100</f>
        <v>0.55505879574173733</v>
      </c>
      <c r="AJ19" s="25">
        <f t="shared" si="4"/>
        <v>98.7</v>
      </c>
      <c r="AK19" s="25"/>
      <c r="AL19" s="25"/>
      <c r="AM19" s="25"/>
      <c r="AN19" s="25"/>
      <c r="AO19" s="25">
        <v>98.7</v>
      </c>
      <c r="AP19" s="25"/>
      <c r="AQ19" s="25"/>
      <c r="AR19" s="25" t="s">
        <v>644</v>
      </c>
      <c r="AS19" s="25">
        <f>AT19/AT21*100</f>
        <v>0.47376935521146296</v>
      </c>
      <c r="AT19" s="25">
        <f t="shared" si="5"/>
        <v>110.7</v>
      </c>
      <c r="AU19" s="25"/>
      <c r="AV19" s="25"/>
      <c r="AW19" s="25"/>
      <c r="AX19" s="25"/>
      <c r="AY19" s="25">
        <v>110.7</v>
      </c>
      <c r="AZ19" s="25"/>
      <c r="BA19" s="25"/>
      <c r="BB19" s="25"/>
      <c r="BC19" s="25"/>
      <c r="BD19" s="25"/>
      <c r="BE19" s="25"/>
      <c r="BF19" s="25"/>
      <c r="BG19" s="25"/>
      <c r="BH19" s="25"/>
      <c r="BI19" s="25"/>
      <c r="BJ19" s="25"/>
      <c r="BK19" s="25"/>
      <c r="BL19" s="25"/>
      <c r="BM19" s="25"/>
      <c r="BN19" s="25"/>
      <c r="BO19" s="25"/>
      <c r="BP19" s="25"/>
      <c r="BQ19" s="25"/>
      <c r="BR19" s="25"/>
      <c r="BS19" s="25"/>
      <c r="BT19" s="25"/>
      <c r="BU19" s="25"/>
      <c r="BV19" s="25" t="s">
        <v>625</v>
      </c>
      <c r="BW19" s="25">
        <f>BX19/BX20*100</f>
        <v>0.33195415522603505</v>
      </c>
      <c r="BX19" s="25">
        <f t="shared" si="8"/>
        <v>115</v>
      </c>
      <c r="BY19" s="25"/>
      <c r="BZ19" s="25"/>
      <c r="CA19" s="25"/>
      <c r="CB19" s="25"/>
      <c r="CC19" s="25"/>
      <c r="CD19" s="25">
        <v>115</v>
      </c>
      <c r="CE19" s="25"/>
      <c r="CF19" s="25" t="s">
        <v>625</v>
      </c>
      <c r="CG19" s="25">
        <f>CH19/CH20*100</f>
        <v>0.37991644099705457</v>
      </c>
      <c r="CH19" s="25">
        <f t="shared" si="9"/>
        <v>134.4</v>
      </c>
      <c r="CI19" s="25"/>
      <c r="CJ19" s="25"/>
      <c r="CK19" s="25"/>
      <c r="CL19" s="25"/>
      <c r="CM19" s="25"/>
      <c r="CN19" s="25">
        <v>134.4</v>
      </c>
      <c r="CO19" s="21"/>
      <c r="CP19" s="25" t="s">
        <v>625</v>
      </c>
      <c r="CQ19" s="25">
        <f>CR19/CR20*100</f>
        <v>0.5983051842285535</v>
      </c>
      <c r="CR19" s="25">
        <f t="shared" si="10"/>
        <v>216</v>
      </c>
      <c r="CS19" s="25"/>
      <c r="CT19" s="25"/>
      <c r="CU19" s="25"/>
      <c r="CV19" s="25"/>
      <c r="CW19" s="25"/>
      <c r="CX19" s="25">
        <v>216</v>
      </c>
      <c r="CY19" s="25"/>
      <c r="CZ19" s="25" t="s">
        <v>625</v>
      </c>
      <c r="DA19" s="222">
        <f>DB19/DB20*100</f>
        <v>0.79835194460964098</v>
      </c>
      <c r="DB19" s="222">
        <f t="shared" si="11"/>
        <v>293</v>
      </c>
      <c r="DC19" s="25"/>
      <c r="DD19" s="25"/>
      <c r="DE19" s="25"/>
      <c r="DF19" s="25"/>
      <c r="DG19" s="25"/>
      <c r="DH19" s="347">
        <v>293</v>
      </c>
      <c r="DI19" s="501"/>
      <c r="DJ19" s="501"/>
      <c r="DK19" s="501"/>
      <c r="DL19" s="501"/>
      <c r="DM19" s="501"/>
      <c r="DN19" s="501"/>
      <c r="DO19" s="501"/>
    </row>
    <row r="20" spans="1:119" ht="15.75" customHeight="1" x14ac:dyDescent="0.25">
      <c r="A20" s="25" t="s">
        <v>419</v>
      </c>
      <c r="B20" s="25">
        <f>C20/C25*100</f>
        <v>0.6730361933449428</v>
      </c>
      <c r="C20" s="25">
        <f t="shared" si="0"/>
        <v>42.9</v>
      </c>
      <c r="D20" s="25">
        <v>30.7</v>
      </c>
      <c r="E20" s="25"/>
      <c r="F20" s="25">
        <v>12.2</v>
      </c>
      <c r="G20" s="25"/>
      <c r="H20" s="25"/>
      <c r="I20" s="25" t="s">
        <v>645</v>
      </c>
      <c r="J20" s="25">
        <f>K20/K27*100</f>
        <v>0.67131302300645668</v>
      </c>
      <c r="K20" s="25">
        <f t="shared" si="1"/>
        <v>57.6</v>
      </c>
      <c r="L20" s="25">
        <v>57.6</v>
      </c>
      <c r="M20" s="25"/>
      <c r="N20" s="25"/>
      <c r="O20" s="25"/>
      <c r="P20" s="25"/>
      <c r="Q20" s="25" t="s">
        <v>645</v>
      </c>
      <c r="R20" s="25">
        <f>S20/S26*100</f>
        <v>0.89421633648083287</v>
      </c>
      <c r="S20" s="25">
        <f t="shared" si="2"/>
        <v>84</v>
      </c>
      <c r="T20" s="25">
        <v>84</v>
      </c>
      <c r="U20" s="25"/>
      <c r="V20" s="25"/>
      <c r="W20" s="25"/>
      <c r="X20" s="25"/>
      <c r="Y20" s="25" t="s">
        <v>624</v>
      </c>
      <c r="Z20" s="25">
        <f>AA20/AA21*100</f>
        <v>0</v>
      </c>
      <c r="AA20" s="25">
        <f t="shared" si="3"/>
        <v>0</v>
      </c>
      <c r="AB20" s="25"/>
      <c r="AC20" s="25"/>
      <c r="AD20" s="25"/>
      <c r="AE20" s="25"/>
      <c r="AF20" s="25"/>
      <c r="AG20" s="25"/>
      <c r="AH20" s="25" t="s">
        <v>646</v>
      </c>
      <c r="AI20" s="25">
        <f>AJ20/AJ21*100</f>
        <v>4.0417503191447484</v>
      </c>
      <c r="AJ20" s="25">
        <f t="shared" si="4"/>
        <v>718.7</v>
      </c>
      <c r="AK20" s="25">
        <v>59.7</v>
      </c>
      <c r="AL20" s="25">
        <v>659</v>
      </c>
      <c r="AM20" s="25"/>
      <c r="AN20" s="25"/>
      <c r="AO20" s="25"/>
      <c r="AP20" s="25"/>
      <c r="AQ20" s="25"/>
      <c r="AR20" s="25" t="s">
        <v>648</v>
      </c>
      <c r="AS20" s="25">
        <f>AT20/AT21*100</f>
        <v>0.33125337031045377</v>
      </c>
      <c r="AT20" s="25">
        <f t="shared" si="5"/>
        <v>77.400000000000006</v>
      </c>
      <c r="AU20" s="25"/>
      <c r="AV20" s="25"/>
      <c r="AW20" s="25"/>
      <c r="AX20" s="25"/>
      <c r="AY20" s="25">
        <v>77.400000000000006</v>
      </c>
      <c r="AZ20" s="25"/>
      <c r="BA20" s="25"/>
      <c r="BB20" s="25"/>
      <c r="BC20" s="25"/>
      <c r="BD20" s="25"/>
      <c r="BE20" s="25"/>
      <c r="BF20" s="25"/>
      <c r="BG20" s="25"/>
      <c r="BH20" s="25"/>
      <c r="BI20" s="25"/>
      <c r="BJ20" s="25"/>
      <c r="BK20" s="25"/>
      <c r="BL20" s="25"/>
      <c r="BM20" s="25"/>
      <c r="BN20" s="25"/>
      <c r="BO20" s="25"/>
      <c r="BP20" s="25"/>
      <c r="BQ20" s="25"/>
      <c r="BR20" s="25"/>
      <c r="BS20" s="25"/>
      <c r="BT20" s="25"/>
      <c r="BU20" s="25"/>
      <c r="BV20" s="56" t="s">
        <v>92</v>
      </c>
      <c r="BW20" s="56"/>
      <c r="BX20" s="56">
        <f t="shared" si="8"/>
        <v>34643.338000000003</v>
      </c>
      <c r="BY20" s="56">
        <v>7200</v>
      </c>
      <c r="BZ20" s="185">
        <v>8459.1</v>
      </c>
      <c r="CA20" s="44">
        <v>7249.826</v>
      </c>
      <c r="CB20" s="56">
        <v>2025.6120000000001</v>
      </c>
      <c r="CC20" s="530">
        <v>6919.8</v>
      </c>
      <c r="CD20" s="56">
        <v>2789</v>
      </c>
      <c r="CE20" s="25"/>
      <c r="CF20" s="56" t="s">
        <v>92</v>
      </c>
      <c r="CG20" s="56"/>
      <c r="CH20" s="56">
        <f t="shared" si="9"/>
        <v>35376.199999999997</v>
      </c>
      <c r="CI20" s="56">
        <v>7625</v>
      </c>
      <c r="CJ20" s="185">
        <v>8560.7999999999993</v>
      </c>
      <c r="CK20" s="56">
        <v>7387.5</v>
      </c>
      <c r="CL20" s="56">
        <v>2017.9</v>
      </c>
      <c r="CM20" s="530">
        <v>6700</v>
      </c>
      <c r="CN20" s="56">
        <v>3085</v>
      </c>
      <c r="CO20" s="198"/>
      <c r="CP20" s="56" t="s">
        <v>92</v>
      </c>
      <c r="CQ20" s="56"/>
      <c r="CR20" s="56">
        <f t="shared" si="10"/>
        <v>36101.976999999999</v>
      </c>
      <c r="CS20" s="56">
        <v>8100</v>
      </c>
      <c r="CT20" s="185">
        <v>8793.9</v>
      </c>
      <c r="CU20" s="42">
        <v>7281.8940000000002</v>
      </c>
      <c r="CV20" s="56">
        <v>1998.7830000000001</v>
      </c>
      <c r="CW20" s="530">
        <v>6186.4</v>
      </c>
      <c r="CX20" s="56">
        <v>3741</v>
      </c>
      <c r="CY20" s="25"/>
      <c r="CZ20" s="56" t="s">
        <v>92</v>
      </c>
      <c r="DA20" s="25"/>
      <c r="DB20" s="478">
        <f>DC20+DD20+DE20+DF20+DG20+DH20</f>
        <v>36700.605789000001</v>
      </c>
      <c r="DC20" s="478">
        <f>('ISPs (RV)'!J41)</f>
        <v>8900</v>
      </c>
      <c r="DD20" s="478">
        <f>('CableSatIPTV (RV)'!M47)</f>
        <v>8922.4</v>
      </c>
      <c r="DE20" s="478">
        <f>('Total TV Universe (RV)'!O48)</f>
        <v>7275.6</v>
      </c>
      <c r="DF20" s="478">
        <f>('Radio (RV)'!M30)</f>
        <v>1902.7</v>
      </c>
      <c r="DG20" s="221">
        <v>5613.9057890000004</v>
      </c>
      <c r="DH20" s="537">
        <v>4086</v>
      </c>
      <c r="DI20" s="482"/>
      <c r="DJ20" s="482"/>
      <c r="DK20" s="482"/>
      <c r="DL20" s="482"/>
      <c r="DM20" s="482"/>
      <c r="DN20" s="482"/>
      <c r="DO20" s="482"/>
    </row>
    <row r="21" spans="1:119" ht="18" customHeight="1" x14ac:dyDescent="0.25">
      <c r="A21" s="25" t="s">
        <v>512</v>
      </c>
      <c r="B21" s="25">
        <f>C21/C25*100</f>
        <v>0.25101582968575953</v>
      </c>
      <c r="C21" s="25">
        <f t="shared" si="0"/>
        <v>16</v>
      </c>
      <c r="D21" s="25"/>
      <c r="E21" s="25"/>
      <c r="F21" s="25"/>
      <c r="G21" s="25">
        <v>16</v>
      </c>
      <c r="H21" s="25"/>
      <c r="I21" s="25" t="s">
        <v>348</v>
      </c>
      <c r="J21" s="25">
        <f>K21/K27*100</f>
        <v>0.5990536351134006</v>
      </c>
      <c r="K21" s="25">
        <f t="shared" si="1"/>
        <v>51.4</v>
      </c>
      <c r="L21" s="25"/>
      <c r="M21" s="25">
        <v>51.4</v>
      </c>
      <c r="N21" s="25"/>
      <c r="O21" s="25"/>
      <c r="P21" s="25"/>
      <c r="Q21" s="25" t="s">
        <v>622</v>
      </c>
      <c r="R21" s="25">
        <f>S21/S26*100</f>
        <v>0.56740155636224265</v>
      </c>
      <c r="S21" s="25">
        <f t="shared" si="2"/>
        <v>53.3</v>
      </c>
      <c r="T21" s="25"/>
      <c r="U21" s="25"/>
      <c r="V21" s="25"/>
      <c r="W21" s="25">
        <v>53.3</v>
      </c>
      <c r="X21" s="25"/>
      <c r="Y21" s="56" t="s">
        <v>92</v>
      </c>
      <c r="Z21" s="56"/>
      <c r="AA21" s="25">
        <f t="shared" si="3"/>
        <v>11935.2</v>
      </c>
      <c r="AB21" s="56">
        <v>239</v>
      </c>
      <c r="AC21" s="56">
        <v>2677.4</v>
      </c>
      <c r="AD21" s="56">
        <v>3496.1</v>
      </c>
      <c r="AE21" s="56">
        <v>1201.5</v>
      </c>
      <c r="AF21" s="56">
        <f>3310+1011.2</f>
        <v>4321.2</v>
      </c>
      <c r="AG21" s="25"/>
      <c r="AH21" s="56" t="s">
        <v>92</v>
      </c>
      <c r="AI21" s="56"/>
      <c r="AJ21" s="25">
        <f t="shared" si="4"/>
        <v>17781.900000000001</v>
      </c>
      <c r="AK21" s="56">
        <v>1800</v>
      </c>
      <c r="AL21" s="56">
        <v>4218.5</v>
      </c>
      <c r="AM21" s="56">
        <v>4353.8999999999996</v>
      </c>
      <c r="AN21" s="56">
        <v>1330.9</v>
      </c>
      <c r="AO21" s="56">
        <f>4668.6+1300</f>
        <v>5968.6</v>
      </c>
      <c r="AP21" s="198">
        <v>110</v>
      </c>
      <c r="AQ21" s="21"/>
      <c r="AR21" s="544" t="s">
        <v>92</v>
      </c>
      <c r="AS21" s="56"/>
      <c r="AT21" s="56">
        <f t="shared" si="5"/>
        <v>23365.8</v>
      </c>
      <c r="AU21" s="56">
        <v>4200</v>
      </c>
      <c r="AV21" s="56">
        <v>5039.3999999999996</v>
      </c>
      <c r="AW21" s="56">
        <v>5297.5</v>
      </c>
      <c r="AX21" s="56">
        <v>1583</v>
      </c>
      <c r="AY21" s="56">
        <f>1847+5033.9</f>
        <v>6880.9</v>
      </c>
      <c r="AZ21" s="56">
        <v>365</v>
      </c>
      <c r="BA21" s="25"/>
      <c r="BB21" s="25"/>
      <c r="BC21" s="25"/>
      <c r="BD21" s="25"/>
      <c r="BE21" s="25"/>
      <c r="BF21" s="25"/>
      <c r="BG21" s="25"/>
      <c r="BH21" s="25"/>
      <c r="BI21" s="25"/>
      <c r="BJ21" s="22"/>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199"/>
      <c r="DA21" s="25"/>
      <c r="DB21" s="25"/>
      <c r="DC21" s="25"/>
      <c r="DD21" s="25"/>
      <c r="DE21" s="25"/>
      <c r="DF21" s="25"/>
      <c r="DG21" s="25"/>
      <c r="DH21" s="25"/>
      <c r="DI21" s="25"/>
      <c r="DJ21" s="25"/>
      <c r="DK21" s="25"/>
      <c r="DL21" s="25"/>
      <c r="DM21" s="25"/>
      <c r="DN21" s="25"/>
      <c r="DO21" s="25"/>
    </row>
    <row r="22" spans="1:119" ht="15.75" customHeight="1" x14ac:dyDescent="0.25">
      <c r="A22" s="25" t="s">
        <v>651</v>
      </c>
      <c r="B22" s="25">
        <f>C22/C25*100</f>
        <v>0.28082395946094346</v>
      </c>
      <c r="C22" s="25">
        <f t="shared" si="0"/>
        <v>17.899999999999999</v>
      </c>
      <c r="D22" s="25"/>
      <c r="E22" s="25"/>
      <c r="F22" s="25"/>
      <c r="G22" s="25">
        <v>17.899999999999999</v>
      </c>
      <c r="H22" s="25"/>
      <c r="I22" s="25" t="s">
        <v>20</v>
      </c>
      <c r="J22" s="25">
        <f>K22/K27*100</f>
        <v>0.2995268175567003</v>
      </c>
      <c r="K22" s="25">
        <f t="shared" si="1"/>
        <v>25.7</v>
      </c>
      <c r="L22" s="25">
        <v>25.7</v>
      </c>
      <c r="M22" s="25"/>
      <c r="N22" s="25"/>
      <c r="O22" s="25"/>
      <c r="P22" s="25"/>
      <c r="Q22" s="25" t="s">
        <v>635</v>
      </c>
      <c r="R22" s="25">
        <f>S22/S26*100</f>
        <v>0.62275780576343709</v>
      </c>
      <c r="S22" s="25">
        <f t="shared" si="2"/>
        <v>58.5</v>
      </c>
      <c r="T22" s="25"/>
      <c r="U22" s="25"/>
      <c r="V22" s="25"/>
      <c r="W22" s="25">
        <v>58.5</v>
      </c>
      <c r="X22" s="25"/>
      <c r="Y22" s="25"/>
      <c r="Z22" s="25"/>
      <c r="AA22" s="25"/>
      <c r="AB22" s="25"/>
      <c r="AC22" s="25"/>
      <c r="AD22" s="25"/>
      <c r="AE22" s="25"/>
      <c r="AF22" s="25"/>
      <c r="AG22" s="25"/>
      <c r="AH22" s="25"/>
      <c r="AI22" s="25"/>
      <c r="AJ22" s="25"/>
      <c r="AK22" s="25"/>
      <c r="AL22" s="25"/>
      <c r="AM22" s="25"/>
      <c r="AN22" s="25"/>
      <c r="AO22" s="25"/>
      <c r="AP22" s="25"/>
      <c r="AQ22" s="25"/>
      <c r="AR22" s="544"/>
      <c r="AS22" s="56"/>
      <c r="AT22" s="56"/>
      <c r="AU22" s="56"/>
      <c r="AV22" s="56"/>
      <c r="AW22" s="56"/>
      <c r="AX22" s="56"/>
      <c r="AY22" s="56"/>
      <c r="AZ22" s="56"/>
      <c r="BA22" s="25"/>
      <c r="BB22" s="559"/>
      <c r="BC22" s="24"/>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41"/>
      <c r="CK22" s="56"/>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row>
    <row r="23" spans="1:119" ht="15.75" customHeight="1" x14ac:dyDescent="0.25">
      <c r="A23" s="25" t="s">
        <v>348</v>
      </c>
      <c r="B23" s="25">
        <f>C23/C25*100</f>
        <v>0.37338604665756736</v>
      </c>
      <c r="C23" s="25">
        <f t="shared" si="0"/>
        <v>23.8</v>
      </c>
      <c r="D23" s="25"/>
      <c r="E23" s="25">
        <v>23.8</v>
      </c>
      <c r="F23" s="25"/>
      <c r="G23" s="25"/>
      <c r="H23" s="25"/>
      <c r="I23" s="25" t="s">
        <v>419</v>
      </c>
      <c r="J23" s="25">
        <f>K23/K27*100</f>
        <v>0.77853663084776581</v>
      </c>
      <c r="K23" s="25">
        <f t="shared" si="1"/>
        <v>66.800000000000011</v>
      </c>
      <c r="L23" s="25">
        <v>31.8</v>
      </c>
      <c r="M23" s="25">
        <v>17.600000000000001</v>
      </c>
      <c r="N23" s="25">
        <v>17.399999999999999</v>
      </c>
      <c r="O23" s="25"/>
      <c r="P23" s="25"/>
      <c r="Q23" s="25" t="s">
        <v>348</v>
      </c>
      <c r="R23" s="25">
        <f>S23/S26*100</f>
        <v>0.6525650169794649</v>
      </c>
      <c r="S23" s="25">
        <f t="shared" si="2"/>
        <v>61.3</v>
      </c>
      <c r="T23" s="25"/>
      <c r="U23" s="25">
        <v>61.3</v>
      </c>
      <c r="V23" s="25"/>
      <c r="W23" s="25"/>
      <c r="X23" s="25"/>
      <c r="Y23" s="25"/>
      <c r="Z23" s="25"/>
      <c r="AA23" s="25"/>
      <c r="AB23" s="25"/>
      <c r="AC23" s="25"/>
      <c r="AD23" s="25"/>
      <c r="AE23" s="25"/>
      <c r="AF23" s="25"/>
      <c r="AG23" s="25"/>
      <c r="AH23" s="25"/>
      <c r="AI23" s="25"/>
      <c r="AJ23" s="25"/>
      <c r="AK23" s="25"/>
      <c r="AL23" s="25"/>
      <c r="AM23" s="25"/>
      <c r="AN23" s="25"/>
      <c r="AO23" s="25"/>
      <c r="AP23" s="25"/>
      <c r="AQ23" s="25"/>
      <c r="AR23" s="544"/>
      <c r="AS23" s="56"/>
      <c r="AT23" s="56"/>
      <c r="AU23" s="56"/>
      <c r="AV23" s="56"/>
      <c r="AW23" s="56"/>
      <c r="AX23" s="56"/>
      <c r="AY23" s="56"/>
      <c r="AZ23" s="56"/>
      <c r="BA23" s="25"/>
      <c r="BB23" s="559"/>
      <c r="BC23" s="24"/>
      <c r="BD23" s="25"/>
      <c r="BE23" s="25"/>
      <c r="BF23" s="25"/>
      <c r="BG23" s="25"/>
      <c r="BH23" s="25"/>
      <c r="BI23" s="25"/>
      <c r="BJ23" s="25"/>
      <c r="BK23" s="25"/>
      <c r="BL23" s="25"/>
      <c r="BM23" s="574"/>
      <c r="BN23" s="25"/>
      <c r="BO23" s="25"/>
      <c r="BP23" s="25"/>
      <c r="BQ23" s="25"/>
      <c r="BR23" s="25"/>
      <c r="BS23" s="25"/>
      <c r="BT23" s="25"/>
      <c r="BU23" s="10"/>
      <c r="BV23" s="10"/>
      <c r="BW23" s="10"/>
      <c r="BX23" s="10"/>
      <c r="BY23" s="10"/>
      <c r="BZ23" s="25"/>
      <c r="CA23" s="25"/>
      <c r="CB23" s="25"/>
      <c r="CC23" s="25"/>
      <c r="CD23" s="25"/>
      <c r="CE23" s="56"/>
      <c r="CF23" s="25"/>
      <c r="CG23" s="25"/>
      <c r="CH23" s="25"/>
      <c r="CI23" s="25"/>
      <c r="CJ23" s="25"/>
      <c r="CK23" s="25"/>
      <c r="CL23" s="25"/>
      <c r="CM23" s="25"/>
      <c r="CN23" s="25"/>
      <c r="CO23" s="25"/>
      <c r="CP23" s="25"/>
      <c r="CQ23" s="577"/>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row>
    <row r="24" spans="1:119" ht="15.75" customHeight="1" x14ac:dyDescent="0.25">
      <c r="A24" s="25" t="s">
        <v>20</v>
      </c>
      <c r="B24" s="25">
        <f>C24/C25*100</f>
        <v>7.5304748905727859E-2</v>
      </c>
      <c r="C24" s="25">
        <f t="shared" si="0"/>
        <v>4.8</v>
      </c>
      <c r="D24" s="25">
        <v>4.8</v>
      </c>
      <c r="E24" s="25"/>
      <c r="F24" s="25"/>
      <c r="G24" s="25"/>
      <c r="H24" s="25"/>
      <c r="I24" s="25" t="s">
        <v>636</v>
      </c>
      <c r="J24" s="25">
        <f>K24/K27*100</f>
        <v>0.36246241346355562</v>
      </c>
      <c r="K24" s="25">
        <f t="shared" si="1"/>
        <v>31.1</v>
      </c>
      <c r="L24" s="25"/>
      <c r="M24" s="25">
        <v>31.1</v>
      </c>
      <c r="N24" s="25"/>
      <c r="O24" s="25"/>
      <c r="P24" s="25"/>
      <c r="Q24" s="25" t="s">
        <v>419</v>
      </c>
      <c r="R24" s="25">
        <f>S24/S26*100</f>
        <v>0.74305119388526342</v>
      </c>
      <c r="S24" s="25">
        <f t="shared" si="2"/>
        <v>69.8</v>
      </c>
      <c r="T24" s="25">
        <v>28.7</v>
      </c>
      <c r="U24" s="25">
        <v>15.1</v>
      </c>
      <c r="V24" s="25">
        <v>26</v>
      </c>
      <c r="W24" s="25"/>
      <c r="X24" s="25"/>
      <c r="Y24" s="25"/>
      <c r="Z24" s="25"/>
      <c r="AA24" s="25"/>
      <c r="AB24" s="25"/>
      <c r="AC24" s="25"/>
      <c r="AD24" s="25"/>
      <c r="AE24" s="25"/>
      <c r="AF24" s="25"/>
      <c r="AG24" s="25"/>
      <c r="AH24" s="25"/>
      <c r="AI24" s="25"/>
      <c r="AJ24" s="25"/>
      <c r="AK24" s="25"/>
      <c r="AL24" s="25"/>
      <c r="AM24" s="25"/>
      <c r="AN24" s="25"/>
      <c r="AO24" s="25"/>
      <c r="AP24" s="25"/>
      <c r="AQ24" s="25"/>
      <c r="AR24" s="544"/>
      <c r="AS24" s="10"/>
      <c r="AT24" s="10"/>
      <c r="AU24" s="10"/>
      <c r="AV24" s="56"/>
      <c r="AW24" s="56"/>
      <c r="AX24" s="56"/>
      <c r="AY24" s="56"/>
      <c r="AZ24" s="56"/>
      <c r="BA24" s="25"/>
      <c r="BB24" s="559"/>
      <c r="BC24" s="24"/>
      <c r="BD24" s="25"/>
      <c r="BE24" s="25"/>
      <c r="BF24" s="25"/>
      <c r="BG24" s="25"/>
      <c r="BH24" s="25"/>
      <c r="BI24" s="25"/>
      <c r="BJ24" s="25"/>
      <c r="BK24" s="25"/>
      <c r="BL24" s="25"/>
      <c r="BM24" s="25"/>
      <c r="BN24" s="574"/>
      <c r="BO24" s="25"/>
      <c r="BP24" s="25"/>
      <c r="BQ24" s="25"/>
      <c r="BR24" s="25"/>
      <c r="BS24" s="25"/>
      <c r="BT24" s="25"/>
      <c r="BU24" s="25"/>
      <c r="BV24" s="25"/>
      <c r="BW24" s="25"/>
      <c r="BX24" s="25"/>
      <c r="BY24" s="25"/>
      <c r="BZ24" s="25"/>
      <c r="CA24" s="25"/>
      <c r="CB24" s="25"/>
      <c r="CC24" s="25"/>
      <c r="CD24" s="25">
        <v>2674</v>
      </c>
      <c r="CE24" s="21">
        <v>3085</v>
      </c>
      <c r="CF24" s="56">
        <v>3525</v>
      </c>
      <c r="CG24" s="25"/>
      <c r="CH24" s="25"/>
      <c r="CI24" s="25"/>
      <c r="CJ24" s="41"/>
      <c r="CK24" s="56"/>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row>
    <row r="25" spans="1:119" ht="15.75" customHeight="1" x14ac:dyDescent="0.25">
      <c r="A25" s="56" t="s">
        <v>92</v>
      </c>
      <c r="B25" s="56"/>
      <c r="C25" s="25">
        <f t="shared" si="0"/>
        <v>6374.1</v>
      </c>
      <c r="D25" s="56">
        <v>760.5</v>
      </c>
      <c r="E25" s="56">
        <v>1841.7</v>
      </c>
      <c r="F25" s="56">
        <v>810.9</v>
      </c>
      <c r="G25" s="56">
        <f>2190+771</f>
        <v>2961</v>
      </c>
      <c r="H25" s="25"/>
      <c r="I25" s="25" t="s">
        <v>651</v>
      </c>
      <c r="J25" s="25">
        <f>K25/K27*100</f>
        <v>0.25523880562224649</v>
      </c>
      <c r="K25" s="25">
        <f t="shared" si="1"/>
        <v>21.9</v>
      </c>
      <c r="L25" s="25"/>
      <c r="M25" s="25"/>
      <c r="N25" s="25"/>
      <c r="O25" s="25">
        <v>21.9</v>
      </c>
      <c r="P25" s="25"/>
      <c r="Q25" s="25" t="s">
        <v>651</v>
      </c>
      <c r="R25" s="25">
        <f>S25/S26*100</f>
        <v>0.21290865154305541</v>
      </c>
      <c r="S25" s="25">
        <f t="shared" si="2"/>
        <v>20</v>
      </c>
      <c r="T25" s="25"/>
      <c r="U25" s="25"/>
      <c r="V25" s="25"/>
      <c r="W25" s="25">
        <v>20</v>
      </c>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559"/>
      <c r="BC25" s="24"/>
      <c r="BD25" s="25"/>
      <c r="BE25" s="25"/>
      <c r="BF25" s="25"/>
      <c r="BG25" s="25"/>
      <c r="BH25" s="25"/>
      <c r="BI25" s="25"/>
      <c r="BJ25" s="25"/>
      <c r="BK25" s="25"/>
      <c r="BL25" s="25"/>
      <c r="BM25" s="25"/>
      <c r="BN25" s="574"/>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10"/>
      <c r="CQ25" s="10"/>
      <c r="CR25" s="10"/>
      <c r="CS25" s="10"/>
      <c r="CT25" s="10"/>
      <c r="CU25" s="10"/>
      <c r="CV25" s="10"/>
      <c r="CW25" s="25"/>
      <c r="CX25" s="25"/>
      <c r="CY25" s="25"/>
      <c r="CZ25" s="25"/>
      <c r="DA25" s="25"/>
      <c r="DB25" s="25"/>
      <c r="DC25" s="25"/>
      <c r="DD25" s="25"/>
      <c r="DE25" s="25"/>
      <c r="DF25" s="25"/>
      <c r="DG25" s="25"/>
      <c r="DH25" s="25"/>
      <c r="DI25" s="25"/>
      <c r="DJ25" s="25"/>
      <c r="DK25" s="25"/>
      <c r="DL25" s="25"/>
      <c r="DM25" s="25"/>
      <c r="DN25" s="25"/>
      <c r="DO25" s="25"/>
    </row>
    <row r="26" spans="1:119" ht="15.75" customHeight="1" x14ac:dyDescent="0.25">
      <c r="A26" s="25"/>
      <c r="B26" s="25"/>
      <c r="C26" s="25"/>
      <c r="D26" s="25"/>
      <c r="E26" s="25"/>
      <c r="F26" s="25"/>
      <c r="G26" s="25"/>
      <c r="H26" s="25"/>
      <c r="I26" s="25" t="s">
        <v>269</v>
      </c>
      <c r="J26" s="25">
        <f>K26/K27*100</f>
        <v>0.2342602736532948</v>
      </c>
      <c r="K26" s="25">
        <f t="shared" si="1"/>
        <v>20.100000000000001</v>
      </c>
      <c r="L26" s="25"/>
      <c r="M26" s="25">
        <v>20.100000000000001</v>
      </c>
      <c r="N26" s="25"/>
      <c r="O26" s="25"/>
      <c r="P26" s="25"/>
      <c r="Q26" s="56" t="s">
        <v>92</v>
      </c>
      <c r="R26" s="56"/>
      <c r="S26" s="25">
        <f t="shared" si="2"/>
        <v>9393.7000000000007</v>
      </c>
      <c r="T26" s="56">
        <v>1651.4</v>
      </c>
      <c r="U26" s="56">
        <v>2920.3</v>
      </c>
      <c r="V26" s="56">
        <v>1038.0999999999999</v>
      </c>
      <c r="W26" s="56">
        <f>2790+993.9</f>
        <v>3783.9</v>
      </c>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1"/>
      <c r="AV26" s="25"/>
      <c r="AW26" s="25"/>
      <c r="AX26" s="25"/>
      <c r="AY26" s="25"/>
      <c r="AZ26" s="25"/>
      <c r="BA26" s="25"/>
      <c r="BB26" s="559"/>
      <c r="BC26" s="24"/>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row>
    <row r="27" spans="1:119" ht="15.75" customHeight="1" x14ac:dyDescent="0.25">
      <c r="A27" s="25"/>
      <c r="B27" s="25"/>
      <c r="C27" s="25"/>
      <c r="D27" s="25"/>
      <c r="E27" s="25"/>
      <c r="F27" s="25"/>
      <c r="G27" s="25"/>
      <c r="H27" s="25"/>
      <c r="I27" s="56" t="s">
        <v>92</v>
      </c>
      <c r="J27" s="56"/>
      <c r="K27" s="25">
        <f t="shared" si="1"/>
        <v>8580.2000000000007</v>
      </c>
      <c r="L27" s="56">
        <v>1610.8</v>
      </c>
      <c r="M27" s="56">
        <v>2269.8000000000002</v>
      </c>
      <c r="N27" s="56">
        <v>999.6</v>
      </c>
      <c r="O27" s="56">
        <f>2925+775</f>
        <v>3700</v>
      </c>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559"/>
      <c r="BC27" s="559"/>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row>
    <row r="28" spans="1:119" ht="15.75" customHeight="1"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559"/>
      <c r="BC28" s="559"/>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row>
    <row r="29" spans="1:119" ht="15.75" customHeight="1"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559"/>
      <c r="BC29" s="559"/>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row>
    <row r="30" spans="1:119" ht="15.75" customHeight="1"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559"/>
      <c r="BC30" s="559"/>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row>
    <row r="31" spans="1:119" ht="15.75" customHeight="1" x14ac:dyDescent="0.25">
      <c r="A31" s="10">
        <v>1984</v>
      </c>
      <c r="B31" s="10"/>
      <c r="C31" s="10"/>
      <c r="D31" s="10"/>
      <c r="E31" s="10"/>
      <c r="F31" s="10"/>
      <c r="G31" s="10"/>
      <c r="H31" s="10"/>
      <c r="I31" s="10">
        <v>1988</v>
      </c>
      <c r="J31" s="10"/>
      <c r="K31" s="10"/>
      <c r="L31" s="10"/>
      <c r="M31" s="10"/>
      <c r="N31" s="10"/>
      <c r="O31" s="10"/>
      <c r="P31" s="10"/>
      <c r="Q31" s="10">
        <v>1992</v>
      </c>
      <c r="R31" s="10"/>
      <c r="S31" s="10"/>
      <c r="T31" s="10"/>
      <c r="U31" s="10"/>
      <c r="V31" s="10"/>
      <c r="W31" s="10"/>
      <c r="X31" s="10"/>
      <c r="Y31" s="10">
        <v>1996</v>
      </c>
      <c r="Z31" s="10"/>
      <c r="AA31" s="10"/>
      <c r="AB31" s="10"/>
      <c r="AC31" s="10"/>
      <c r="AD31" s="10"/>
      <c r="AE31" s="10"/>
      <c r="AF31" s="10"/>
      <c r="AG31" s="10"/>
      <c r="AH31" s="10">
        <v>2000</v>
      </c>
      <c r="AI31" s="10"/>
      <c r="AJ31" s="10"/>
      <c r="AK31" s="10"/>
      <c r="AL31" s="10"/>
      <c r="AM31" s="10"/>
      <c r="AN31" s="10"/>
      <c r="AO31" s="10"/>
      <c r="AP31" s="10"/>
      <c r="AQ31" s="10"/>
      <c r="AR31" s="12">
        <v>2004</v>
      </c>
      <c r="AS31" s="10"/>
      <c r="AT31" s="10"/>
      <c r="AU31" s="10"/>
      <c r="AV31" s="10"/>
      <c r="AW31" s="10"/>
      <c r="AX31" s="10"/>
      <c r="AY31" s="10"/>
      <c r="AZ31" s="10"/>
      <c r="BA31" s="10"/>
      <c r="BB31" s="12">
        <v>2008</v>
      </c>
      <c r="BC31" s="10"/>
      <c r="BD31" s="10"/>
      <c r="BE31" s="590"/>
      <c r="BF31" s="10"/>
      <c r="BG31" s="10"/>
      <c r="BH31" s="12"/>
      <c r="BI31" s="10"/>
      <c r="BJ31" s="10"/>
      <c r="BK31" s="10"/>
      <c r="BL31" s="12">
        <v>2010</v>
      </c>
      <c r="BM31" s="592"/>
      <c r="BN31" s="10"/>
      <c r="BO31" s="10"/>
      <c r="BP31" s="10"/>
      <c r="BQ31" s="10"/>
      <c r="BR31" s="10"/>
      <c r="BS31" s="10"/>
      <c r="BT31" s="10"/>
      <c r="BU31" s="10"/>
      <c r="BV31" s="12">
        <v>2011</v>
      </c>
      <c r="BW31" s="592"/>
      <c r="BX31" s="592"/>
      <c r="BY31" s="10"/>
      <c r="BZ31" s="10"/>
      <c r="CA31" s="10"/>
      <c r="CB31" s="10"/>
      <c r="CC31" s="10"/>
      <c r="CD31" s="10"/>
      <c r="CE31" s="10"/>
      <c r="CF31" s="12">
        <v>2012</v>
      </c>
      <c r="CG31" s="10"/>
      <c r="CH31" s="10"/>
      <c r="CI31" s="10"/>
      <c r="CJ31" s="10"/>
      <c r="CK31" s="10"/>
      <c r="CL31" s="10"/>
      <c r="CM31" s="10"/>
      <c r="CN31" s="10"/>
      <c r="CO31" s="10"/>
      <c r="CP31" s="12">
        <v>2013</v>
      </c>
      <c r="CQ31" s="10"/>
      <c r="CR31" s="10"/>
      <c r="CS31" s="10"/>
      <c r="CT31" s="10"/>
      <c r="CU31" s="10"/>
      <c r="CV31" s="10"/>
      <c r="CW31" s="10"/>
      <c r="CX31" s="10"/>
      <c r="CY31" s="10"/>
      <c r="CZ31" s="12">
        <v>2014</v>
      </c>
      <c r="DA31" s="10"/>
      <c r="DB31" s="10"/>
      <c r="DC31" s="10"/>
      <c r="DD31" s="10"/>
      <c r="DE31" s="10"/>
      <c r="DF31" s="10"/>
      <c r="DG31" s="10"/>
      <c r="DH31" s="10"/>
      <c r="DI31" s="10"/>
      <c r="DJ31" s="10"/>
      <c r="DK31" s="10"/>
      <c r="DL31" s="10"/>
      <c r="DM31" s="10"/>
      <c r="DN31" s="10"/>
      <c r="DO31" s="10"/>
    </row>
    <row r="32" spans="1:119" ht="15.75" customHeight="1" x14ac:dyDescent="0.25">
      <c r="A32" s="544" t="s">
        <v>674</v>
      </c>
      <c r="B32" s="40">
        <f>C25</f>
        <v>6374.1</v>
      </c>
      <c r="C32" s="25"/>
      <c r="D32" s="559"/>
      <c r="E32" s="559"/>
      <c r="F32" s="559"/>
      <c r="G32" s="559"/>
      <c r="H32" s="25"/>
      <c r="I32" s="544" t="s">
        <v>674</v>
      </c>
      <c r="J32" s="40">
        <f>K27</f>
        <v>8580.2000000000007</v>
      </c>
      <c r="K32" s="25"/>
      <c r="L32" s="559"/>
      <c r="M32" s="559"/>
      <c r="N32" s="559"/>
      <c r="O32" s="559"/>
      <c r="P32" s="25"/>
      <c r="Q32" s="544" t="s">
        <v>674</v>
      </c>
      <c r="R32" s="40">
        <f>S26</f>
        <v>9393.7000000000007</v>
      </c>
      <c r="S32" s="25"/>
      <c r="T32" s="559"/>
      <c r="U32" s="559"/>
      <c r="V32" s="559"/>
      <c r="W32" s="559"/>
      <c r="X32" s="25"/>
      <c r="Y32" s="544" t="s">
        <v>674</v>
      </c>
      <c r="Z32" s="40">
        <f>AA21</f>
        <v>11935.2</v>
      </c>
      <c r="AA32" s="25"/>
      <c r="AB32" s="25"/>
      <c r="AC32" s="25"/>
      <c r="AD32" s="25"/>
      <c r="AE32" s="25"/>
      <c r="AF32" s="25"/>
      <c r="AG32" s="25"/>
      <c r="AH32" s="544" t="s">
        <v>674</v>
      </c>
      <c r="AI32" s="40">
        <f>AJ21</f>
        <v>17781.900000000001</v>
      </c>
      <c r="AJ32" s="25"/>
      <c r="AK32" s="25"/>
      <c r="AL32" s="25"/>
      <c r="AM32" s="25"/>
      <c r="AN32" s="25"/>
      <c r="AO32" s="25"/>
      <c r="AP32" s="25"/>
      <c r="AQ32" s="25"/>
      <c r="AR32" s="544" t="s">
        <v>674</v>
      </c>
      <c r="AS32" s="40">
        <f>AT21</f>
        <v>23365.8</v>
      </c>
      <c r="AT32" s="25"/>
      <c r="AU32" s="559"/>
      <c r="AV32" s="559"/>
      <c r="AW32" s="559"/>
      <c r="AX32" s="559"/>
      <c r="AY32" s="559"/>
      <c r="AZ32" s="559"/>
      <c r="BA32" s="25"/>
      <c r="BB32" s="544" t="s">
        <v>674</v>
      </c>
      <c r="BC32" s="40">
        <f>BD17</f>
        <v>30873.600000000002</v>
      </c>
      <c r="BD32" s="25"/>
      <c r="BE32" s="25"/>
      <c r="BF32" s="25"/>
      <c r="BG32" s="25"/>
      <c r="BH32" s="25"/>
      <c r="BI32" s="25"/>
      <c r="BJ32" s="25"/>
      <c r="BK32" s="25"/>
      <c r="BL32" s="56" t="s">
        <v>674</v>
      </c>
      <c r="BM32" s="123">
        <f>BN15</f>
        <v>26234.6</v>
      </c>
      <c r="BN32" s="25"/>
      <c r="BO32" s="25"/>
      <c r="BP32" s="25"/>
      <c r="BQ32" s="25"/>
      <c r="BR32" s="25"/>
      <c r="BS32" s="25"/>
      <c r="BT32" s="25"/>
      <c r="BU32" s="25"/>
      <c r="BV32" s="56" t="s">
        <v>674</v>
      </c>
      <c r="BW32" s="25">
        <f>BX20</f>
        <v>34643.338000000003</v>
      </c>
      <c r="BX32" s="25"/>
      <c r="BY32" s="25"/>
      <c r="BZ32" s="25"/>
      <c r="CA32" s="25"/>
      <c r="CB32" s="25"/>
      <c r="CC32" s="25"/>
      <c r="CD32" s="25"/>
      <c r="CE32" s="25"/>
      <c r="CF32" s="56" t="s">
        <v>674</v>
      </c>
      <c r="CG32" s="25">
        <f>CH20</f>
        <v>35376.199999999997</v>
      </c>
      <c r="CH32" s="25"/>
      <c r="CI32" s="25"/>
      <c r="CJ32" s="25"/>
      <c r="CK32" s="25"/>
      <c r="CL32" s="25"/>
      <c r="CM32" s="25"/>
      <c r="CN32" s="25"/>
      <c r="CO32" s="25"/>
      <c r="CP32" s="56" t="s">
        <v>674</v>
      </c>
      <c r="CQ32" s="25">
        <f>CR20</f>
        <v>36101.976999999999</v>
      </c>
      <c r="CR32" s="25"/>
      <c r="CS32" s="25"/>
      <c r="CT32" s="25"/>
      <c r="CU32" s="25"/>
      <c r="CV32" s="25"/>
      <c r="CW32" s="25"/>
      <c r="CX32" s="25"/>
      <c r="CY32" s="25"/>
      <c r="CZ32" s="56" t="s">
        <v>674</v>
      </c>
      <c r="DA32" s="222">
        <f>DB20</f>
        <v>36700.605789000001</v>
      </c>
      <c r="DB32" s="25"/>
      <c r="DC32" s="25"/>
      <c r="DD32" s="25"/>
      <c r="DE32" s="25"/>
      <c r="DF32" s="25"/>
      <c r="DG32" s="25"/>
      <c r="DH32" s="25"/>
      <c r="DI32" s="25"/>
      <c r="DJ32" s="25"/>
      <c r="DK32" s="25"/>
      <c r="DL32" s="25"/>
      <c r="DM32" s="25"/>
      <c r="DN32" s="25"/>
      <c r="DO32" s="25"/>
    </row>
    <row r="33" spans="1:119" ht="15.75" customHeight="1" x14ac:dyDescent="0.25">
      <c r="A33" s="367" t="s">
        <v>604</v>
      </c>
      <c r="B33" s="24">
        <f>B2</f>
        <v>16.662744544327822</v>
      </c>
      <c r="C33" s="559"/>
      <c r="D33" s="25"/>
      <c r="E33" s="25"/>
      <c r="F33" s="25"/>
      <c r="G33" s="25"/>
      <c r="H33" s="559"/>
      <c r="I33" s="367" t="s">
        <v>604</v>
      </c>
      <c r="J33" s="24">
        <f>J2</f>
        <v>14.665159320295562</v>
      </c>
      <c r="K33" s="559"/>
      <c r="L33" s="25"/>
      <c r="M33" s="25"/>
      <c r="N33" s="25"/>
      <c r="O33" s="25"/>
      <c r="P33" s="559"/>
      <c r="Q33" s="511" t="s">
        <v>604</v>
      </c>
      <c r="R33" s="24">
        <f>R2</f>
        <v>13.928483983946688</v>
      </c>
      <c r="S33" s="559"/>
      <c r="T33" s="25"/>
      <c r="U33" s="25"/>
      <c r="V33" s="25"/>
      <c r="W33" s="25"/>
      <c r="X33" s="559"/>
      <c r="Y33" s="511" t="s">
        <v>604</v>
      </c>
      <c r="Z33" s="24">
        <f>Z4</f>
        <v>10.433842750854613</v>
      </c>
      <c r="AA33" s="559"/>
      <c r="AB33" s="559"/>
      <c r="AC33" s="559"/>
      <c r="AD33" s="559"/>
      <c r="AE33" s="559"/>
      <c r="AF33" s="559"/>
      <c r="AG33" s="559"/>
      <c r="AH33" s="511" t="s">
        <v>604</v>
      </c>
      <c r="AI33" s="24">
        <f>AI6</f>
        <v>9.4281263532018489</v>
      </c>
      <c r="AJ33" s="559"/>
      <c r="AK33" s="559"/>
      <c r="AL33" s="559"/>
      <c r="AM33" s="559"/>
      <c r="AN33" s="559"/>
      <c r="AO33" s="559"/>
      <c r="AP33" s="559"/>
      <c r="AQ33" s="559"/>
      <c r="AR33" s="511" t="s">
        <v>604</v>
      </c>
      <c r="AS33" s="24">
        <f>AS2</f>
        <v>13.769269616276784</v>
      </c>
      <c r="AT33" s="559"/>
      <c r="AU33" s="25"/>
      <c r="AV33" s="25"/>
      <c r="AW33" s="25"/>
      <c r="AX33" s="25"/>
      <c r="AY33" s="25"/>
      <c r="AZ33" s="25"/>
      <c r="BA33" s="559"/>
      <c r="BB33" s="544" t="s">
        <v>604</v>
      </c>
      <c r="BC33" s="24">
        <f>BC3</f>
        <v>11.185932317578771</v>
      </c>
      <c r="BD33" s="559"/>
      <c r="BE33" s="559"/>
      <c r="BF33" s="559"/>
      <c r="BG33" s="559"/>
      <c r="BH33" s="559"/>
      <c r="BI33" s="559"/>
      <c r="BJ33" s="559"/>
      <c r="BK33" s="559"/>
      <c r="BL33" s="56" t="s">
        <v>604</v>
      </c>
      <c r="BM33" s="25">
        <f>BM2</f>
        <v>15.51233866725622</v>
      </c>
      <c r="BN33" s="25"/>
      <c r="BO33" s="25"/>
      <c r="BP33" s="25"/>
      <c r="BQ33" s="25"/>
      <c r="BR33" s="25"/>
      <c r="BS33" s="25"/>
      <c r="BT33" s="25"/>
      <c r="BU33" s="559"/>
      <c r="BV33" s="56" t="s">
        <v>604</v>
      </c>
      <c r="BW33" s="25">
        <f>BW2</f>
        <v>15.777925325787024</v>
      </c>
      <c r="BX33" s="559"/>
      <c r="BY33" s="559"/>
      <c r="BZ33" s="559"/>
      <c r="CA33" s="559"/>
      <c r="CB33" s="559"/>
      <c r="CC33" s="559"/>
      <c r="CD33" s="559"/>
      <c r="CE33" s="559"/>
      <c r="CF33" s="511" t="s">
        <v>604</v>
      </c>
      <c r="CG33" s="25">
        <f>CG2</f>
        <v>15.991542336373044</v>
      </c>
      <c r="CH33" s="559"/>
      <c r="CI33" s="25"/>
      <c r="CJ33" s="25"/>
      <c r="CK33" s="25"/>
      <c r="CL33" s="25"/>
      <c r="CM33" s="25"/>
      <c r="CN33" s="25"/>
      <c r="CO33" s="25"/>
      <c r="CP33" s="511" t="s">
        <v>604</v>
      </c>
      <c r="CQ33" s="25">
        <f>CQ2</f>
        <v>17.990704497983586</v>
      </c>
      <c r="CR33" s="559"/>
      <c r="CS33" s="559"/>
      <c r="CT33" s="25"/>
      <c r="CU33" s="25"/>
      <c r="CV33" s="25"/>
      <c r="CW33" s="559"/>
      <c r="CX33" s="559"/>
      <c r="CY33" s="559"/>
      <c r="CZ33" s="511" t="s">
        <v>604</v>
      </c>
      <c r="DA33" s="222">
        <f>DA2</f>
        <v>17.758289978835748</v>
      </c>
      <c r="DB33" s="559"/>
      <c r="DC33" s="559"/>
      <c r="DD33" s="559"/>
      <c r="DE33" s="559"/>
      <c r="DF33" s="559"/>
      <c r="DG33" s="559"/>
      <c r="DH33" s="559"/>
      <c r="DI33" s="559"/>
      <c r="DJ33" s="559"/>
      <c r="DK33" s="559"/>
      <c r="DL33" s="559"/>
      <c r="DM33" s="559"/>
      <c r="DN33" s="559"/>
      <c r="DO33" s="559"/>
    </row>
    <row r="34" spans="1:119" ht="15.75" customHeight="1" x14ac:dyDescent="0.25">
      <c r="A34" s="530" t="s">
        <v>42</v>
      </c>
      <c r="B34" s="24">
        <f>SUM(B2+B3+B4+B5)</f>
        <v>37.908096829356296</v>
      </c>
      <c r="C34" s="25"/>
      <c r="D34" s="25"/>
      <c r="E34" s="25"/>
      <c r="F34" s="25"/>
      <c r="G34" s="25"/>
      <c r="H34" s="25"/>
      <c r="I34" s="530" t="s">
        <v>42</v>
      </c>
      <c r="J34" s="24">
        <f>SUM(J2+J3+J4+J5)</f>
        <v>38.613319036852289</v>
      </c>
      <c r="K34" s="25"/>
      <c r="L34" s="25"/>
      <c r="M34" s="25"/>
      <c r="N34" s="25"/>
      <c r="O34" s="25"/>
      <c r="P34" s="25"/>
      <c r="Q34" s="56" t="s">
        <v>42</v>
      </c>
      <c r="R34" s="24">
        <f>SUM(R2+R3+R5+R6)</f>
        <v>34.589139529684786</v>
      </c>
      <c r="S34" s="25"/>
      <c r="T34" s="25"/>
      <c r="U34" s="25"/>
      <c r="V34" s="25"/>
      <c r="W34" s="25"/>
      <c r="X34" s="25"/>
      <c r="Y34" s="56" t="s">
        <v>42</v>
      </c>
      <c r="Z34" s="24">
        <f>SUM(Z2+Z6+Z4+Z5)</f>
        <v>34.433440579127286</v>
      </c>
      <c r="AA34" s="25"/>
      <c r="AB34" s="25"/>
      <c r="AC34" s="25"/>
      <c r="AD34" s="25"/>
      <c r="AE34" s="25"/>
      <c r="AF34" s="25"/>
      <c r="AG34" s="25"/>
      <c r="AH34" s="56" t="s">
        <v>42</v>
      </c>
      <c r="AI34" s="24">
        <f>SUM(AI5+AI6+AI7+AI10)</f>
        <v>33.097138101102807</v>
      </c>
      <c r="AJ34" s="25"/>
      <c r="AK34" s="25"/>
      <c r="AL34" s="25"/>
      <c r="AM34" s="25"/>
      <c r="AN34" s="25"/>
      <c r="AO34" s="25"/>
      <c r="AP34" s="25"/>
      <c r="AQ34" s="25"/>
      <c r="AR34" s="56" t="s">
        <v>42</v>
      </c>
      <c r="AS34" s="24">
        <f>SUM(AS2+AS3+AS4+AS6)</f>
        <v>44.025456008354091</v>
      </c>
      <c r="AT34" s="25"/>
      <c r="AU34" s="25"/>
      <c r="AV34" s="25"/>
      <c r="AW34" s="25"/>
      <c r="AX34" s="25"/>
      <c r="AY34" s="25"/>
      <c r="AZ34" s="25"/>
      <c r="BA34" s="25"/>
      <c r="BB34" s="544" t="s">
        <v>42</v>
      </c>
      <c r="BC34" s="24">
        <f>SUM(BC2+BC3+BC4+BC5)</f>
        <v>39.966508602819232</v>
      </c>
      <c r="BD34" s="25"/>
      <c r="BE34" s="25"/>
      <c r="BF34" s="25"/>
      <c r="BG34" s="25"/>
      <c r="BH34" s="25"/>
      <c r="BI34" s="25"/>
      <c r="BJ34" s="25"/>
      <c r="BK34" s="25"/>
      <c r="BL34" s="56" t="s">
        <v>42</v>
      </c>
      <c r="BM34" s="25">
        <f>SUM(BM2+BM3+BM4+BM5)</f>
        <v>42.485877429044081</v>
      </c>
      <c r="BN34" s="559"/>
      <c r="BO34" s="559"/>
      <c r="BP34" s="559"/>
      <c r="BQ34" s="559"/>
      <c r="BR34" s="559"/>
      <c r="BS34" s="559"/>
      <c r="BT34" s="559"/>
      <c r="BU34" s="25"/>
      <c r="BV34" s="56" t="s">
        <v>42</v>
      </c>
      <c r="BW34" s="25">
        <f>SUM(BW2+BW3+BW5+BW6)</f>
        <v>51.281721178253662</v>
      </c>
      <c r="BX34" s="25"/>
      <c r="BY34" s="25"/>
      <c r="BZ34" s="25"/>
      <c r="CA34" s="25"/>
      <c r="CB34" s="25"/>
      <c r="CC34" s="25"/>
      <c r="CD34" s="25"/>
      <c r="CE34" s="25"/>
      <c r="CF34" s="56" t="s">
        <v>42</v>
      </c>
      <c r="CG34" s="25">
        <f>SUM(CG2+CG3+CG6+CG5)</f>
        <v>50.508816662049632</v>
      </c>
      <c r="CH34" s="25"/>
      <c r="CI34" s="25"/>
      <c r="CJ34" s="25"/>
      <c r="CK34" s="25"/>
      <c r="CL34" s="25"/>
      <c r="CM34" s="25"/>
      <c r="CN34" s="25"/>
      <c r="CO34" s="25"/>
      <c r="CP34" s="56" t="s">
        <v>42</v>
      </c>
      <c r="CQ34" s="25">
        <f>SUM(CQ2+CQ3+CQ5+CQ6)</f>
        <v>51.994659461447227</v>
      </c>
      <c r="CR34" s="25"/>
      <c r="CS34" s="25"/>
      <c r="CT34" s="25"/>
      <c r="CU34" s="25"/>
      <c r="CV34" s="25"/>
      <c r="CW34" s="25"/>
      <c r="CX34" s="25"/>
      <c r="CY34" s="25"/>
      <c r="CZ34" s="56" t="s">
        <v>42</v>
      </c>
      <c r="DA34" s="222">
        <f>SUM(DA2+DA3+DA5+DA6)</f>
        <v>50.111706890441262</v>
      </c>
      <c r="DB34" s="25"/>
      <c r="DC34" s="25"/>
      <c r="DD34" s="25"/>
      <c r="DE34" s="25"/>
      <c r="DF34" s="25"/>
      <c r="DG34" s="25"/>
      <c r="DH34" s="25"/>
      <c r="DI34" s="25"/>
      <c r="DJ34" s="25"/>
      <c r="DK34" s="25"/>
      <c r="DL34" s="25"/>
      <c r="DM34" s="25"/>
      <c r="DN34" s="25"/>
      <c r="DO34" s="25"/>
    </row>
    <row r="35" spans="1:119" ht="15.75" customHeight="1" x14ac:dyDescent="0.25">
      <c r="A35" s="367" t="s">
        <v>615</v>
      </c>
      <c r="B35" s="24">
        <f>SUM(B2+B3+B4+B5+B6+B14+B7+B8+B9+B10)</f>
        <v>54.188042233413341</v>
      </c>
      <c r="C35" s="25"/>
      <c r="D35" s="25"/>
      <c r="E35" s="25"/>
      <c r="F35" s="25"/>
      <c r="G35" s="25"/>
      <c r="H35" s="25"/>
      <c r="I35" s="367" t="s">
        <v>615</v>
      </c>
      <c r="J35" s="24">
        <f>SUM(J2+J3+J4+J11+J5+J6+J7+J8+J15+J9+J10)</f>
        <v>59.734038833593623</v>
      </c>
      <c r="K35" s="25"/>
      <c r="L35" s="25"/>
      <c r="M35" s="25"/>
      <c r="N35" s="25"/>
      <c r="O35" s="25"/>
      <c r="P35" s="25"/>
      <c r="Q35" s="511" t="s">
        <v>615</v>
      </c>
      <c r="R35" s="24">
        <f>SUM(R2+R3+R4+R5+R6+R7+R8+R15+R9+R10)</f>
        <v>59.381287458615873</v>
      </c>
      <c r="S35" s="25"/>
      <c r="T35" s="25"/>
      <c r="U35" s="25"/>
      <c r="V35" s="25"/>
      <c r="W35" s="25"/>
      <c r="X35" s="25"/>
      <c r="Y35" s="511" t="s">
        <v>615</v>
      </c>
      <c r="Z35" s="24">
        <f>SUM(Z2+Z3+Z4+Z5+Z6+Z7+Z8+Z9+Z10+Z11)</f>
        <v>53.93876935451437</v>
      </c>
      <c r="AA35" s="25"/>
      <c r="AB35" s="25"/>
      <c r="AC35" s="25"/>
      <c r="AD35" s="25"/>
      <c r="AE35" s="25"/>
      <c r="AF35" s="25"/>
      <c r="AG35" s="25"/>
      <c r="AH35" s="511" t="s">
        <v>615</v>
      </c>
      <c r="AI35" s="24">
        <f>SUM(AI2+AI3+AI4+AI5+AI6+AI7+AI8+AI14+AI10+AI20)</f>
        <v>58.262052986463758</v>
      </c>
      <c r="AJ35" s="25"/>
      <c r="AK35" s="25"/>
      <c r="AL35" s="25"/>
      <c r="AM35" s="25"/>
      <c r="AN35" s="25"/>
      <c r="AO35" s="25"/>
      <c r="AP35" s="25"/>
      <c r="AQ35" s="25"/>
      <c r="AR35" s="511" t="s">
        <v>615</v>
      </c>
      <c r="AS35" s="24">
        <f>SUM(AS2+AS3+AS5+AS4+AS6+AS7+AS8+AS9+AS10+AS11)</f>
        <v>70.631863663987545</v>
      </c>
      <c r="AT35" s="25"/>
      <c r="AU35" s="25"/>
      <c r="AV35" s="25"/>
      <c r="AW35" s="25"/>
      <c r="AX35" s="25"/>
      <c r="AY35" s="25"/>
      <c r="AZ35" s="25"/>
      <c r="BA35" s="25"/>
      <c r="BB35" s="544" t="s">
        <v>615</v>
      </c>
      <c r="BC35" s="24">
        <f>SUM(BC2+BC3+BC4+BC5+BC6+BC7+BC8+BC9+BC10+BC11)</f>
        <v>68.60424440298506</v>
      </c>
      <c r="BD35" s="25"/>
      <c r="BE35" s="25"/>
      <c r="BF35" s="25"/>
      <c r="BG35" s="25"/>
      <c r="BH35" s="25"/>
      <c r="BI35" s="25"/>
      <c r="BJ35" s="25"/>
      <c r="BK35" s="25"/>
      <c r="BL35" s="56" t="s">
        <v>615</v>
      </c>
      <c r="BM35" s="25">
        <f>SUM(BM2+BM3+BM4+BM5+BM6+BM8+BM7+BM10+BM11+BM12)</f>
        <v>68.172184824620913</v>
      </c>
      <c r="BN35" s="25"/>
      <c r="BO35" s="25"/>
      <c r="BP35" s="25"/>
      <c r="BQ35" s="25"/>
      <c r="BR35" s="25"/>
      <c r="BS35" s="25"/>
      <c r="BT35" s="25"/>
      <c r="BU35" s="25"/>
      <c r="BV35" s="56" t="s">
        <v>615</v>
      </c>
      <c r="BW35" s="25">
        <f>SUM(BW2+BW3+BW5+BW6+BW7+BW9+BW10+BW13+BW11+BW4)</f>
        <v>71.90473389140503</v>
      </c>
      <c r="BX35" s="25"/>
      <c r="BY35" s="25"/>
      <c r="BZ35" s="25"/>
      <c r="CA35" s="25"/>
      <c r="CB35" s="25"/>
      <c r="CC35" s="25"/>
      <c r="CD35" s="25"/>
      <c r="CE35" s="25"/>
      <c r="CF35" s="511" t="s">
        <v>615</v>
      </c>
      <c r="CG35" s="25">
        <f>SUM(CG2+CG3+CG4+CG5+CG6+CG7+CG14+CG9+CG10+CG11)</f>
        <v>71.659759951605878</v>
      </c>
      <c r="CH35" s="25"/>
      <c r="CI35" s="25"/>
      <c r="CJ35" s="25"/>
      <c r="CK35" s="25"/>
      <c r="CL35" s="25"/>
      <c r="CM35" s="25"/>
      <c r="CN35" s="25"/>
      <c r="CO35" s="25"/>
      <c r="CP35" s="511" t="s">
        <v>615</v>
      </c>
      <c r="CQ35" s="25">
        <f>SUM(CQ2+CQ3+CQ5+CQ7+CQ9+CQ10+CQ4+CQ6+CQ11+CQ13)</f>
        <v>73.654692096225091</v>
      </c>
      <c r="CR35" s="25"/>
      <c r="CS35" s="25"/>
      <c r="CT35" s="25"/>
      <c r="CU35" s="25"/>
      <c r="CV35" s="25"/>
      <c r="CW35" s="25"/>
      <c r="CX35" s="25"/>
      <c r="CY35" s="25"/>
      <c r="CZ35" s="511" t="s">
        <v>615</v>
      </c>
      <c r="DA35" s="222">
        <f>SUM(DA2+DA3+DA5+DA7+DA9+DA10+DA4+DA6+DA11+DA13)</f>
        <v>71.353918707927519</v>
      </c>
      <c r="DB35" s="25"/>
      <c r="DC35" s="25"/>
      <c r="DD35" s="25"/>
      <c r="DE35" s="25"/>
      <c r="DF35" s="25"/>
      <c r="DG35" s="25"/>
      <c r="DH35" s="25"/>
      <c r="DI35" s="25"/>
      <c r="DJ35" s="25"/>
      <c r="DK35" s="25"/>
      <c r="DL35" s="25"/>
      <c r="DM35" s="25"/>
      <c r="DN35" s="25"/>
      <c r="DO35" s="25"/>
    </row>
    <row r="36" spans="1:119" ht="15.75" customHeight="1" x14ac:dyDescent="0.25">
      <c r="A36" s="511" t="s">
        <v>43</v>
      </c>
      <c r="B36" s="24">
        <f>SUMSQ(B2:B24)</f>
        <v>494.78801302074231</v>
      </c>
      <c r="C36" s="25"/>
      <c r="D36" s="25"/>
      <c r="E36" s="25"/>
      <c r="F36" s="25"/>
      <c r="G36" s="25"/>
      <c r="H36" s="25"/>
      <c r="I36" s="511" t="s">
        <v>43</v>
      </c>
      <c r="J36" s="24">
        <f>SUMSQ(J2:J26)</f>
        <v>494.33297240105986</v>
      </c>
      <c r="K36" s="25"/>
      <c r="L36" s="25"/>
      <c r="M36" s="25"/>
      <c r="N36" s="25"/>
      <c r="O36" s="25"/>
      <c r="P36" s="25"/>
      <c r="Q36" s="511" t="s">
        <v>43</v>
      </c>
      <c r="R36" s="24">
        <f>SUMSQ(R2:R25)</f>
        <v>479.37221275005641</v>
      </c>
      <c r="S36" s="25"/>
      <c r="T36" s="25"/>
      <c r="U36" s="25"/>
      <c r="V36" s="25"/>
      <c r="W36" s="25"/>
      <c r="X36" s="25"/>
      <c r="Y36" s="56" t="s">
        <v>43</v>
      </c>
      <c r="Z36" s="24">
        <f>SUMSQ(Z2:Z20)</f>
        <v>406.528460643931</v>
      </c>
      <c r="AA36" s="25"/>
      <c r="AB36" s="25"/>
      <c r="AC36" s="25"/>
      <c r="AD36" s="25"/>
      <c r="AE36" s="25"/>
      <c r="AF36" s="25"/>
      <c r="AG36" s="25"/>
      <c r="AH36" s="56" t="s">
        <v>43</v>
      </c>
      <c r="AI36" s="24">
        <f>SUMSQ(AI2:AI20)</f>
        <v>411.94405508883085</v>
      </c>
      <c r="AJ36" s="25"/>
      <c r="AK36" s="25"/>
      <c r="AL36" s="25"/>
      <c r="AM36" s="25"/>
      <c r="AN36" s="25"/>
      <c r="AO36" s="25"/>
      <c r="AP36" s="25"/>
      <c r="AQ36" s="25"/>
      <c r="AR36" s="56" t="s">
        <v>43</v>
      </c>
      <c r="AS36" s="24">
        <f>SUMSQ(AS2:AS20)</f>
        <v>652.6631431065307</v>
      </c>
      <c r="AT36" s="25"/>
      <c r="AU36" s="25"/>
      <c r="AV36" s="25"/>
      <c r="AW36" s="25"/>
      <c r="AX36" s="25"/>
      <c r="AY36" s="25"/>
      <c r="AZ36" s="25"/>
      <c r="BA36" s="25"/>
      <c r="BB36" s="544" t="s">
        <v>43</v>
      </c>
      <c r="BC36" s="24">
        <f>SUMSQ(BC2:BC16)</f>
        <v>573.81470768633108</v>
      </c>
      <c r="BD36" s="25"/>
      <c r="BE36" s="25"/>
      <c r="BF36" s="25"/>
      <c r="BG36" s="25"/>
      <c r="BH36" s="21"/>
      <c r="BI36" s="21"/>
      <c r="BJ36" s="21"/>
      <c r="BK36" s="25"/>
      <c r="BL36" s="56" t="s">
        <v>43</v>
      </c>
      <c r="BM36" s="25">
        <f>SUMSQ(BM2:BM14)</f>
        <v>669.28735651635952</v>
      </c>
      <c r="BN36" s="25"/>
      <c r="BO36" s="25"/>
      <c r="BP36" s="574"/>
      <c r="BQ36" s="25"/>
      <c r="BR36" s="25"/>
      <c r="BS36" s="25"/>
      <c r="BT36" s="25"/>
      <c r="BU36" s="25"/>
      <c r="BV36" s="56" t="s">
        <v>43</v>
      </c>
      <c r="BW36" s="25">
        <f>SUMSQ(BW2:BW19)</f>
        <v>774.42432839647927</v>
      </c>
      <c r="BX36" s="25"/>
      <c r="BY36" s="25"/>
      <c r="BZ36" s="25"/>
      <c r="CA36" s="25"/>
      <c r="CB36" s="25"/>
      <c r="CC36" s="25"/>
      <c r="CD36" s="25"/>
      <c r="CE36" s="25"/>
      <c r="CF36" s="56" t="s">
        <v>43</v>
      </c>
      <c r="CG36" s="25">
        <f>SUMSQ(CG2:CG19)</f>
        <v>755.31084582125754</v>
      </c>
      <c r="CH36" s="25"/>
      <c r="CI36" s="25"/>
      <c r="CJ36" s="25"/>
      <c r="CK36" s="25"/>
      <c r="CL36" s="25"/>
      <c r="CM36" s="25"/>
      <c r="CN36" s="25"/>
      <c r="CO36" s="56"/>
      <c r="CP36" s="56" t="s">
        <v>43</v>
      </c>
      <c r="CQ36" s="25">
        <f>SUMSQ(CQ2:CQ19)</f>
        <v>812.61827593305941</v>
      </c>
      <c r="CR36" s="25"/>
      <c r="CS36" s="25"/>
      <c r="CT36" s="559"/>
      <c r="CU36" s="559"/>
      <c r="CV36" s="559"/>
      <c r="CW36" s="25"/>
      <c r="CX36" s="25"/>
      <c r="CY36" s="25"/>
      <c r="CZ36" s="56" t="s">
        <v>43</v>
      </c>
      <c r="DA36" s="222">
        <f>SUMSQ(DA2:DA19)</f>
        <v>762.44980172662315</v>
      </c>
      <c r="DB36" s="25"/>
      <c r="DC36" s="25"/>
      <c r="DD36" s="25"/>
      <c r="DE36" s="25"/>
      <c r="DF36" s="25"/>
      <c r="DG36" s="25"/>
      <c r="DH36" s="25"/>
      <c r="DI36" s="25"/>
      <c r="DJ36" s="25"/>
      <c r="DK36" s="25"/>
      <c r="DL36" s="25"/>
      <c r="DM36" s="25"/>
      <c r="DN36" s="25"/>
      <c r="DO36" s="25"/>
    </row>
    <row r="37" spans="1:119" ht="15.75"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56" t="s">
        <v>631</v>
      </c>
      <c r="CG37" s="25">
        <f>SUM(CG2+CG3+CG5+CG6)</f>
        <v>50.508816662049632</v>
      </c>
      <c r="CH37" s="56"/>
      <c r="CI37" s="56"/>
      <c r="CJ37" s="25"/>
      <c r="CK37" s="25"/>
      <c r="CL37" s="25"/>
      <c r="CM37" s="25"/>
      <c r="CN37" s="25"/>
      <c r="CO37" s="25"/>
      <c r="CP37" s="56" t="s">
        <v>631</v>
      </c>
      <c r="CQ37" s="25">
        <v>50</v>
      </c>
      <c r="CR37" s="56"/>
      <c r="CS37" s="25"/>
      <c r="CT37" s="25"/>
      <c r="CU37" s="25"/>
      <c r="CV37" s="25"/>
      <c r="CW37" s="25"/>
      <c r="CX37" s="25"/>
      <c r="CY37" s="25"/>
      <c r="CZ37" s="56" t="s">
        <v>631</v>
      </c>
      <c r="DA37" s="25"/>
      <c r="DB37" s="25"/>
      <c r="DC37" s="25"/>
      <c r="DD37" s="25"/>
      <c r="DE37" s="25"/>
      <c r="DF37" s="25"/>
      <c r="DG37" s="25"/>
      <c r="DH37" s="25"/>
      <c r="DI37" s="25"/>
      <c r="DJ37" s="25"/>
      <c r="DK37" s="25"/>
      <c r="DL37" s="25"/>
      <c r="DM37" s="25"/>
      <c r="DN37" s="25"/>
      <c r="DO37" s="25"/>
    </row>
    <row r="38" spans="1:119" ht="15.75" customHeight="1" x14ac:dyDescent="0.25">
      <c r="A38" s="574"/>
      <c r="B38" s="25"/>
      <c r="C38" s="25"/>
      <c r="D38" s="25"/>
      <c r="E38" s="25"/>
      <c r="F38" s="25"/>
      <c r="G38" s="25"/>
      <c r="H38" s="25"/>
      <c r="I38" s="574"/>
      <c r="J38" s="25"/>
      <c r="K38" s="25"/>
      <c r="L38" s="25"/>
      <c r="M38" s="25"/>
      <c r="N38" s="25"/>
      <c r="O38" s="25"/>
      <c r="P38" s="25"/>
      <c r="Q38" s="574"/>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56"/>
      <c r="AS38" s="56"/>
      <c r="AT38" s="56"/>
      <c r="AU38" s="56"/>
      <c r="AV38" s="56"/>
      <c r="AW38" s="56"/>
      <c r="AX38" s="56"/>
      <c r="AY38" s="56"/>
      <c r="AZ38" s="56"/>
      <c r="BA38" s="25"/>
      <c r="BB38" s="559"/>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56"/>
      <c r="CL38" s="56"/>
      <c r="CM38" s="56"/>
      <c r="CN38" s="56"/>
      <c r="CO38" s="25"/>
      <c r="CP38" s="25"/>
      <c r="CQ38" s="25"/>
      <c r="CR38" s="25"/>
      <c r="CS38" s="25"/>
      <c r="CT38" s="25"/>
      <c r="CU38" s="25"/>
      <c r="CV38" s="25"/>
      <c r="CW38" s="25"/>
      <c r="CX38" s="25"/>
      <c r="CY38" s="25"/>
      <c r="CZ38" s="25"/>
      <c r="DA38" s="10"/>
      <c r="DB38" s="25"/>
      <c r="DC38" s="25"/>
      <c r="DD38" s="25"/>
      <c r="DE38" s="25"/>
      <c r="DF38" s="25"/>
      <c r="DG38" s="25"/>
      <c r="DH38" s="25"/>
      <c r="DI38" s="25"/>
      <c r="DJ38" s="25"/>
      <c r="DK38" s="25"/>
      <c r="DL38" s="25"/>
      <c r="DM38" s="25"/>
      <c r="DN38" s="25"/>
      <c r="DO38" s="25"/>
    </row>
    <row r="39" spans="1:119" ht="31.5" customHeight="1" x14ac:dyDescent="0.25">
      <c r="A39" s="609"/>
      <c r="B39" s="340">
        <v>1984</v>
      </c>
      <c r="C39" s="340">
        <v>1988</v>
      </c>
      <c r="D39" s="340">
        <v>1996</v>
      </c>
      <c r="E39" s="340">
        <v>1992</v>
      </c>
      <c r="F39" s="340">
        <v>2004</v>
      </c>
      <c r="G39" s="340">
        <v>2000</v>
      </c>
      <c r="H39" s="340">
        <v>2008</v>
      </c>
      <c r="I39" s="340">
        <v>2010</v>
      </c>
      <c r="J39" s="340">
        <v>2011</v>
      </c>
      <c r="K39" s="340" t="s">
        <v>681</v>
      </c>
      <c r="L39" s="56">
        <v>2013</v>
      </c>
      <c r="M39" s="340">
        <v>2012</v>
      </c>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25"/>
      <c r="AS39" s="25"/>
      <c r="AT39" s="25"/>
      <c r="AU39" s="25"/>
      <c r="AV39" s="25"/>
      <c r="AW39" s="25"/>
      <c r="AX39" s="25"/>
      <c r="AY39" s="25"/>
      <c r="AZ39" s="25"/>
      <c r="BA39" s="56"/>
      <c r="BB39" s="56"/>
      <c r="BC39" s="56"/>
      <c r="BD39" s="56"/>
      <c r="BE39" s="56"/>
      <c r="BF39" s="56"/>
      <c r="BG39" s="56"/>
      <c r="BH39" s="56"/>
      <c r="BI39" s="56"/>
      <c r="BJ39" s="56"/>
      <c r="BK39" s="56"/>
      <c r="BL39" s="56"/>
      <c r="BM39" s="56"/>
      <c r="BN39" s="25"/>
      <c r="BO39" s="25"/>
      <c r="BP39" s="25"/>
      <c r="BQ39" s="25"/>
      <c r="BR39" s="25"/>
      <c r="BS39" s="25"/>
      <c r="BT39" s="25"/>
      <c r="BU39" s="56"/>
      <c r="BV39" s="56"/>
      <c r="BW39" s="56"/>
      <c r="BX39" s="56"/>
      <c r="BY39" s="56"/>
      <c r="BZ39" s="56"/>
      <c r="CA39" s="56"/>
      <c r="CB39" s="56"/>
      <c r="CC39" s="56"/>
      <c r="CD39" s="56"/>
      <c r="CE39" s="25"/>
      <c r="CF39" s="56"/>
      <c r="CG39" s="56"/>
      <c r="CH39" s="56"/>
      <c r="CI39" s="56"/>
      <c r="CJ39" s="56"/>
      <c r="CK39" s="25"/>
      <c r="CL39" s="25"/>
      <c r="CM39" s="25"/>
      <c r="CN39" s="25"/>
      <c r="CO39" s="25"/>
      <c r="CP39" s="56"/>
      <c r="CQ39" s="56"/>
      <c r="CR39" s="56"/>
      <c r="CS39" s="56"/>
      <c r="CT39" s="25"/>
      <c r="CU39" s="25"/>
      <c r="CV39" s="25"/>
      <c r="CW39" s="56"/>
      <c r="CX39" s="56"/>
      <c r="CY39" s="56"/>
      <c r="CZ39" s="25"/>
      <c r="DA39" s="25"/>
      <c r="DB39" s="56"/>
      <c r="DC39" s="56"/>
      <c r="DD39" s="56"/>
      <c r="DE39" s="56"/>
      <c r="DF39" s="56"/>
      <c r="DG39" s="56"/>
      <c r="DH39" s="56"/>
      <c r="DI39" s="56"/>
      <c r="DJ39" s="56"/>
      <c r="DK39" s="56"/>
      <c r="DL39" s="56"/>
      <c r="DM39" s="56"/>
      <c r="DN39" s="56"/>
      <c r="DO39" s="56"/>
    </row>
    <row r="40" spans="1:119" ht="15.75" customHeight="1" x14ac:dyDescent="0.25">
      <c r="A40" s="574" t="s">
        <v>43</v>
      </c>
      <c r="B40" s="25">
        <f>B36</f>
        <v>494.78801302074231</v>
      </c>
      <c r="C40" s="25">
        <f>J36</f>
        <v>494.33297240105986</v>
      </c>
      <c r="D40" s="25">
        <f>Z36</f>
        <v>406.528460643931</v>
      </c>
      <c r="E40" s="25">
        <f>R36</f>
        <v>479.37221275005641</v>
      </c>
      <c r="F40" s="25">
        <f>AS36</f>
        <v>652.6631431065307</v>
      </c>
      <c r="G40" s="25">
        <f>AI36</f>
        <v>411.94405508883085</v>
      </c>
      <c r="H40" s="25">
        <f>BC36</f>
        <v>573.81470768633108</v>
      </c>
      <c r="I40" s="25">
        <f>BM36</f>
        <v>669.28735651635952</v>
      </c>
      <c r="J40" s="25">
        <f>BW36</f>
        <v>774.42432839647927</v>
      </c>
      <c r="K40" s="25">
        <v>871.8</v>
      </c>
      <c r="L40" s="25">
        <f>CQ36</f>
        <v>812.61827593305941</v>
      </c>
      <c r="M40" s="25">
        <f>CG36</f>
        <v>755.31084582125754</v>
      </c>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56"/>
      <c r="BM40" s="56"/>
      <c r="BN40" s="56"/>
      <c r="BO40" s="56"/>
      <c r="BP40" s="56"/>
      <c r="BQ40" s="56"/>
      <c r="BR40" s="56"/>
      <c r="BS40" s="56"/>
      <c r="BT40" s="56"/>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559"/>
      <c r="DB40" s="25"/>
      <c r="DC40" s="25"/>
      <c r="DD40" s="25"/>
      <c r="DE40" s="25"/>
      <c r="DF40" s="25"/>
      <c r="DG40" s="25"/>
      <c r="DH40" s="25"/>
      <c r="DI40" s="25"/>
      <c r="DJ40" s="25"/>
      <c r="DK40" s="25"/>
      <c r="DL40" s="25"/>
      <c r="DM40" s="25"/>
      <c r="DN40" s="25"/>
      <c r="DO40" s="25"/>
    </row>
    <row r="41" spans="1:119" ht="15.75" customHeight="1"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56"/>
      <c r="CS41" s="25"/>
      <c r="CT41" s="25"/>
      <c r="CU41" s="25"/>
      <c r="CV41" s="25"/>
      <c r="CW41" s="25"/>
      <c r="CX41" s="25"/>
      <c r="CY41" s="25"/>
      <c r="CZ41" s="25"/>
      <c r="DA41" s="25"/>
      <c r="DB41" s="25"/>
      <c r="DC41" s="25"/>
      <c r="DD41" s="25"/>
      <c r="DE41" s="25"/>
      <c r="DF41" s="25"/>
      <c r="DG41" s="25"/>
      <c r="DH41" s="25"/>
      <c r="DI41" s="25"/>
      <c r="DJ41" s="25"/>
      <c r="DK41" s="25"/>
      <c r="DL41" s="25"/>
      <c r="DM41" s="25"/>
      <c r="DN41" s="25"/>
      <c r="DO41" s="25"/>
    </row>
    <row r="42" spans="1:119" ht="15.75" customHeight="1" x14ac:dyDescent="0.25">
      <c r="A42" s="25" t="s">
        <v>682</v>
      </c>
      <c r="B42" s="25">
        <f>B34</f>
        <v>37.908096829356296</v>
      </c>
      <c r="C42" s="25">
        <f>J34</f>
        <v>38.613319036852289</v>
      </c>
      <c r="D42" s="25">
        <f>Z34</f>
        <v>34.433440579127286</v>
      </c>
      <c r="E42" s="25">
        <f>R34</f>
        <v>34.589139529684786</v>
      </c>
      <c r="F42" s="25">
        <f>AS34</f>
        <v>44.025456008354091</v>
      </c>
      <c r="G42" s="25">
        <f>AI34</f>
        <v>33.097138101102807</v>
      </c>
      <c r="H42" s="25">
        <f>BC34</f>
        <v>39.966508602819232</v>
      </c>
      <c r="I42" s="25">
        <f>BM34</f>
        <v>42.485877429044081</v>
      </c>
      <c r="J42" s="25">
        <f>BW34</f>
        <v>51.281721178253662</v>
      </c>
      <c r="K42" s="25">
        <v>54.5486117279235</v>
      </c>
      <c r="L42" s="25">
        <f>CQ34</f>
        <v>51.994659461447227</v>
      </c>
      <c r="M42" s="25">
        <f>CG34</f>
        <v>50.508816662049632</v>
      </c>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4"/>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56"/>
      <c r="CT42" s="56"/>
      <c r="CU42" s="56"/>
      <c r="CV42" s="56"/>
      <c r="CW42" s="25"/>
      <c r="CX42" s="25"/>
      <c r="CY42" s="25"/>
      <c r="CZ42" s="25"/>
      <c r="DA42" s="25"/>
      <c r="DB42" s="25"/>
      <c r="DC42" s="25"/>
      <c r="DD42" s="25"/>
      <c r="DE42" s="25"/>
      <c r="DF42" s="25"/>
      <c r="DG42" s="25"/>
      <c r="DH42" s="25"/>
      <c r="DI42" s="25"/>
      <c r="DJ42" s="25"/>
      <c r="DK42" s="25"/>
      <c r="DL42" s="25"/>
      <c r="DM42" s="25"/>
      <c r="DN42" s="25"/>
      <c r="DO42" s="25"/>
    </row>
    <row r="43" spans="1:119" ht="15.75" customHeight="1"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row>
    <row r="44" spans="1:119" ht="15.75" customHeight="1"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4"/>
      <c r="BF44" s="25"/>
      <c r="BG44" s="25"/>
      <c r="BH44" s="21"/>
      <c r="BI44" s="21"/>
      <c r="BJ44" s="21"/>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1"/>
      <c r="CL44" s="21"/>
      <c r="CM44" s="21"/>
      <c r="CN44" s="25"/>
      <c r="CO44" s="25"/>
      <c r="CP44" s="24"/>
      <c r="CQ44" s="253"/>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row>
    <row r="45" spans="1:119" ht="15.75" customHeight="1"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574"/>
      <c r="BC45" s="123"/>
      <c r="BD45" s="25"/>
      <c r="BE45" s="24"/>
      <c r="BF45" s="25"/>
      <c r="BG45" s="25"/>
      <c r="BH45" s="25"/>
      <c r="BI45" s="21"/>
      <c r="BJ45" s="21"/>
      <c r="BK45" s="25"/>
      <c r="BL45" s="25"/>
      <c r="BM45" s="24"/>
      <c r="BN45" s="24"/>
      <c r="BO45" s="24"/>
      <c r="BP45" s="24"/>
      <c r="BQ45" s="25"/>
      <c r="BR45" s="25"/>
      <c r="BS45" s="25"/>
      <c r="BT45" s="25"/>
      <c r="BU45" s="25"/>
      <c r="BV45" s="25"/>
      <c r="BW45" s="25"/>
      <c r="BX45" s="25"/>
      <c r="BY45" s="25"/>
      <c r="BZ45" s="25"/>
      <c r="CA45" s="25"/>
      <c r="CB45" s="25"/>
      <c r="CC45" s="25"/>
      <c r="CD45" s="25"/>
      <c r="CE45" s="25"/>
      <c r="CF45" s="25"/>
      <c r="CG45" s="25"/>
      <c r="CH45" s="25"/>
      <c r="CI45" s="25"/>
      <c r="CJ45" s="25"/>
      <c r="CK45" s="21"/>
      <c r="CL45" s="25"/>
      <c r="CM45" s="21"/>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row>
    <row r="46" spans="1:119" ht="15.7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574"/>
      <c r="BC46" s="123"/>
      <c r="BD46" s="25"/>
      <c r="BE46" s="24"/>
      <c r="BF46" s="25"/>
      <c r="BG46" s="25"/>
      <c r="BH46" s="25"/>
      <c r="BI46" s="25"/>
      <c r="BJ46" s="25"/>
      <c r="BK46" s="25"/>
      <c r="BL46" s="25"/>
      <c r="BM46" s="24"/>
      <c r="BN46" s="24"/>
      <c r="BO46" s="24"/>
      <c r="BP46" s="24"/>
      <c r="BQ46" s="25"/>
      <c r="BR46" s="25"/>
      <c r="BS46" s="25"/>
      <c r="BT46" s="25"/>
      <c r="BU46" s="25"/>
      <c r="BV46" s="25"/>
      <c r="BW46" s="25"/>
      <c r="BX46" s="25"/>
      <c r="BY46" s="25"/>
      <c r="BZ46" s="25"/>
      <c r="CA46" s="25"/>
      <c r="CB46" s="25"/>
      <c r="CC46" s="25"/>
      <c r="CD46" s="25"/>
      <c r="CE46" s="25"/>
      <c r="CF46" s="9"/>
      <c r="CG46" s="24"/>
      <c r="CH46" s="24"/>
      <c r="CI46" s="24"/>
      <c r="CJ46" s="24"/>
      <c r="CK46" s="24"/>
      <c r="CL46" s="24"/>
      <c r="CM46" s="24"/>
      <c r="CN46" s="24"/>
      <c r="CO46" s="24"/>
      <c r="CP46" s="25"/>
      <c r="CQ46" s="25"/>
      <c r="CR46" s="25"/>
      <c r="CS46" s="25"/>
      <c r="CT46" s="25"/>
      <c r="CU46" s="25"/>
      <c r="CV46" s="25"/>
      <c r="CW46" s="25"/>
      <c r="CX46" s="25"/>
      <c r="CY46" s="25"/>
      <c r="CZ46" s="25"/>
      <c r="DA46" s="56"/>
      <c r="DB46" s="25"/>
      <c r="DC46" s="25"/>
      <c r="DD46" s="25"/>
      <c r="DE46" s="25"/>
      <c r="DF46" s="25"/>
      <c r="DG46" s="25"/>
      <c r="DH46" s="25"/>
      <c r="DI46" s="25"/>
      <c r="DJ46" s="25"/>
      <c r="DK46" s="25"/>
      <c r="DL46" s="25"/>
      <c r="DM46" s="25"/>
      <c r="DN46" s="25"/>
      <c r="DO46" s="25"/>
    </row>
    <row r="47" spans="1:119" ht="15.75" customHeight="1"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574"/>
      <c r="BC47" s="123"/>
      <c r="BD47" s="25"/>
      <c r="BE47" s="24"/>
      <c r="BF47" s="25"/>
      <c r="BG47" s="25"/>
      <c r="BH47" s="25"/>
      <c r="BI47" s="25"/>
      <c r="BJ47" s="25"/>
      <c r="BK47" s="25"/>
      <c r="BL47" s="25"/>
      <c r="BM47" s="24"/>
      <c r="BN47" s="24"/>
      <c r="BO47" s="24"/>
      <c r="BP47" s="24"/>
      <c r="BQ47" s="24"/>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row>
    <row r="48" spans="1:119" ht="15.75" customHeight="1"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574"/>
      <c r="BC48" s="123"/>
      <c r="BD48" s="25"/>
      <c r="BE48" s="24"/>
      <c r="BF48" s="25"/>
      <c r="BG48" s="25"/>
      <c r="BH48" s="25"/>
      <c r="BI48" s="25"/>
      <c r="BJ48" s="25"/>
      <c r="BK48" s="25"/>
      <c r="BL48" s="25"/>
      <c r="BM48" s="24"/>
      <c r="BN48" s="24"/>
      <c r="BO48" s="24"/>
      <c r="BP48" s="24"/>
      <c r="BQ48" s="24"/>
      <c r="BR48" s="25"/>
      <c r="BS48" s="25"/>
      <c r="BT48" s="25"/>
      <c r="BU48" s="25"/>
      <c r="BV48" s="25"/>
      <c r="BW48" s="25"/>
      <c r="BX48" s="25"/>
      <c r="BY48" s="25"/>
      <c r="BZ48" s="25"/>
      <c r="CA48" s="25"/>
      <c r="CB48" s="25"/>
      <c r="CC48" s="25"/>
      <c r="CD48" s="25"/>
      <c r="CE48" s="25"/>
      <c r="CF48" s="25"/>
      <c r="CG48" s="24"/>
      <c r="CH48" s="24"/>
      <c r="CI48" s="24"/>
      <c r="CJ48" s="24"/>
      <c r="CK48" s="24"/>
      <c r="CL48" s="24"/>
      <c r="CM48" s="24"/>
      <c r="CN48" s="24"/>
      <c r="CO48" s="24"/>
      <c r="CP48" s="25"/>
      <c r="CQ48" s="253"/>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row>
    <row r="49" spans="1:119" ht="15.75" customHeight="1"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574"/>
      <c r="BC49" s="123"/>
      <c r="BD49" s="25"/>
      <c r="BE49" s="24"/>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3"/>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row>
    <row r="50" spans="1:119" ht="15.75" customHeight="1"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626"/>
      <c r="BC50" s="123"/>
      <c r="BD50" s="25"/>
      <c r="BE50" s="24"/>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1"/>
      <c r="CL50" s="25"/>
      <c r="CM50" s="21"/>
      <c r="CN50" s="21"/>
      <c r="CO50" s="25"/>
      <c r="CP50" s="21"/>
      <c r="CQ50" s="253"/>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row>
    <row r="51" spans="1:119" ht="15.75" customHeight="1"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623"/>
      <c r="BC51" s="123"/>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row>
    <row r="52" spans="1:119" ht="15.75" customHeight="1"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623"/>
      <c r="BC52" s="123"/>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row>
    <row r="53" spans="1:119" ht="15.75" customHeight="1"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623"/>
      <c r="BC53" s="123"/>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row>
    <row r="54" spans="1:119" ht="15.75" customHeight="1"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623"/>
      <c r="BC54" s="123"/>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row>
    <row r="55" spans="1:119" ht="15.75" customHeight="1"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123"/>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row>
    <row r="56" spans="1:119" ht="15.75" customHeight="1"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123"/>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row>
    <row r="57" spans="1:119" ht="15.75" customHeigh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123"/>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row>
    <row r="58" spans="1:119" ht="15.75" customHeight="1"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123"/>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10"/>
      <c r="DA58" s="25"/>
      <c r="DB58" s="25"/>
      <c r="DC58" s="25"/>
      <c r="DD58" s="25"/>
      <c r="DE58" s="25"/>
      <c r="DF58" s="25"/>
      <c r="DG58" s="25"/>
      <c r="DH58" s="25"/>
      <c r="DI58" s="25"/>
      <c r="DJ58" s="25"/>
      <c r="DK58" s="25"/>
      <c r="DL58" s="25"/>
      <c r="DM58" s="25"/>
      <c r="DN58" s="25"/>
      <c r="DO58" s="25"/>
    </row>
    <row r="59" spans="1:119" ht="15.75" customHeight="1"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123"/>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row>
    <row r="60" spans="1:119" ht="15.75" customHeight="1"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123"/>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559"/>
      <c r="DA60" s="25"/>
      <c r="DB60" s="25"/>
      <c r="DC60" s="25"/>
      <c r="DD60" s="25"/>
      <c r="DE60" s="25"/>
      <c r="DF60" s="25"/>
      <c r="DG60" s="25"/>
      <c r="DH60" s="25"/>
      <c r="DI60" s="25"/>
      <c r="DJ60" s="25"/>
      <c r="DK60" s="25"/>
      <c r="DL60" s="25"/>
      <c r="DM60" s="25"/>
      <c r="DN60" s="25"/>
      <c r="DO60" s="25"/>
    </row>
    <row r="61" spans="1:119" ht="15.75" customHeight="1"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123"/>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row>
    <row r="62" spans="1:119" ht="15.75" customHeight="1"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row>
    <row r="63" spans="1:119" ht="15.75" customHeight="1"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row>
    <row r="64" spans="1:119" ht="15.75" customHeight="1"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row>
    <row r="65" spans="1:119" ht="15.75" customHeight="1"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row>
    <row r="66" spans="1:119" ht="15.75" customHeight="1"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574"/>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56"/>
      <c r="DA66" s="25"/>
      <c r="DB66" s="25"/>
      <c r="DC66" s="25"/>
      <c r="DD66" s="25"/>
      <c r="DE66" s="25"/>
      <c r="DF66" s="25"/>
      <c r="DG66" s="25"/>
      <c r="DH66" s="25"/>
      <c r="DI66" s="25"/>
      <c r="DJ66" s="25"/>
      <c r="DK66" s="25"/>
      <c r="DL66" s="25"/>
      <c r="DM66" s="25"/>
      <c r="DN66" s="25"/>
      <c r="DO66" s="25"/>
    </row>
    <row r="67" spans="1:119" ht="15.75" customHeight="1"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574"/>
      <c r="BC67" s="123"/>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row>
    <row r="68" spans="1:119" ht="15.75" customHeight="1"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574"/>
      <c r="BC68" s="123"/>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row>
    <row r="69" spans="1:119" ht="15.75" customHeight="1"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574"/>
      <c r="BC69" s="123"/>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row>
    <row r="70" spans="1:119" ht="15.75" customHeight="1"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574"/>
      <c r="BC70" s="123"/>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row>
    <row r="71" spans="1:119" ht="15.75" customHeight="1"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574"/>
      <c r="BC71" s="123"/>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row>
    <row r="72" spans="1:119" ht="15.75" customHeight="1"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574"/>
      <c r="BC72" s="123"/>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row>
    <row r="73" spans="1:119" ht="15.75" customHeight="1"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574"/>
      <c r="BC73" s="123"/>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row>
    <row r="74" spans="1:119" ht="15.75" customHeight="1"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574"/>
      <c r="BC74" s="123"/>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row>
    <row r="75" spans="1:119" ht="15.75" customHeight="1"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574"/>
      <c r="BC75" s="123"/>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row>
    <row r="76" spans="1:119" ht="15.7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574"/>
      <c r="BC76" s="123"/>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row>
    <row r="77" spans="1:119" ht="15.75" customHeight="1"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574"/>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row>
    <row r="78" spans="1:119" ht="15.75" customHeight="1"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row>
    <row r="79" spans="1:119" ht="15.75" customHeight="1"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574"/>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row>
    <row r="80" spans="1:119" ht="15.75" customHeight="1"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row>
  </sheetData>
  <mergeCells count="2">
    <mergeCell ref="BB50:BB54"/>
    <mergeCell ref="DJ4:DL14"/>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6"/>
  <sheetViews>
    <sheetView workbookViewId="0"/>
  </sheetViews>
  <sheetFormatPr defaultColWidth="17.25" defaultRowHeight="15" customHeight="1" x14ac:dyDescent="0.2"/>
  <cols>
    <col min="1" max="1" width="29.875" customWidth="1"/>
    <col min="2" max="2" width="11.625" customWidth="1"/>
    <col min="3" max="3" width="14.25" customWidth="1"/>
    <col min="4" max="4" width="10.75" customWidth="1"/>
    <col min="5" max="5" width="16.125" customWidth="1"/>
    <col min="6" max="8" width="10.75" customWidth="1"/>
    <col min="9" max="9" width="27.625" customWidth="1"/>
    <col min="10" max="10" width="10.75" customWidth="1"/>
    <col min="11" max="11" width="12.875" customWidth="1"/>
    <col min="12" max="12" width="10.75" customWidth="1"/>
    <col min="13" max="13" width="16.875" customWidth="1"/>
    <col min="14" max="16" width="10.75" customWidth="1"/>
    <col min="17" max="17" width="27.625" customWidth="1"/>
    <col min="18" max="18" width="11.625" customWidth="1"/>
    <col min="19" max="19" width="12.875" customWidth="1"/>
    <col min="20" max="20" width="10.75" customWidth="1"/>
    <col min="21" max="21" width="16.875" customWidth="1"/>
    <col min="22" max="24" width="10.75" customWidth="1"/>
    <col min="25" max="25" width="29.875" customWidth="1"/>
    <col min="26" max="26" width="13.375" customWidth="1"/>
    <col min="27" max="27" width="15" customWidth="1"/>
    <col min="28" max="28" width="8" customWidth="1"/>
    <col min="29" max="29" width="20.125" customWidth="1"/>
    <col min="30" max="30" width="10.375" customWidth="1"/>
    <col min="31" max="31" width="11.25" customWidth="1"/>
    <col min="32" max="32" width="10.75" customWidth="1"/>
    <col min="33" max="33" width="35.375" customWidth="1"/>
    <col min="34" max="34" width="18" customWidth="1"/>
    <col min="35" max="35" width="15" customWidth="1"/>
    <col min="36" max="36" width="10.75" customWidth="1"/>
    <col min="37" max="37" width="20.125" customWidth="1"/>
    <col min="38" max="38" width="10.375" customWidth="1"/>
    <col min="39" max="46" width="10.75" customWidth="1"/>
  </cols>
  <sheetData>
    <row r="1" spans="1:46" ht="18" customHeight="1" x14ac:dyDescent="0.25">
      <c r="A1" s="89">
        <v>2008</v>
      </c>
      <c r="B1" s="102" t="s">
        <v>91</v>
      </c>
      <c r="C1" s="209" t="s">
        <v>118</v>
      </c>
      <c r="D1" s="209" t="s">
        <v>365</v>
      </c>
      <c r="E1" s="209" t="s">
        <v>357</v>
      </c>
      <c r="F1" s="102" t="s">
        <v>216</v>
      </c>
      <c r="G1" s="102" t="s">
        <v>99</v>
      </c>
      <c r="H1" s="214"/>
      <c r="I1" s="89">
        <v>2011</v>
      </c>
      <c r="J1" s="102" t="s">
        <v>91</v>
      </c>
      <c r="K1" s="209" t="s">
        <v>372</v>
      </c>
      <c r="L1" s="209" t="s">
        <v>365</v>
      </c>
      <c r="M1" s="209" t="s">
        <v>357</v>
      </c>
      <c r="N1" s="102" t="s">
        <v>216</v>
      </c>
      <c r="O1" s="102" t="s">
        <v>99</v>
      </c>
      <c r="P1" s="214"/>
      <c r="Q1" s="89">
        <v>2012</v>
      </c>
      <c r="R1" s="102" t="s">
        <v>91</v>
      </c>
      <c r="S1" s="209" t="s">
        <v>374</v>
      </c>
      <c r="T1" s="209" t="s">
        <v>365</v>
      </c>
      <c r="U1" s="209" t="s">
        <v>357</v>
      </c>
      <c r="V1" s="102" t="s">
        <v>216</v>
      </c>
      <c r="W1" s="102" t="s">
        <v>99</v>
      </c>
      <c r="X1" s="214"/>
      <c r="Y1" s="89">
        <v>2013</v>
      </c>
      <c r="Z1" s="102" t="s">
        <v>91</v>
      </c>
      <c r="AA1" s="209" t="s">
        <v>375</v>
      </c>
      <c r="AB1" s="209" t="s">
        <v>365</v>
      </c>
      <c r="AC1" s="209" t="s">
        <v>357</v>
      </c>
      <c r="AD1" s="102" t="s">
        <v>216</v>
      </c>
      <c r="AE1" s="102" t="s">
        <v>99</v>
      </c>
      <c r="AF1" s="216"/>
      <c r="AG1" s="218">
        <v>2014</v>
      </c>
      <c r="AH1" s="102" t="s">
        <v>91</v>
      </c>
      <c r="AI1" s="209" t="s">
        <v>375</v>
      </c>
      <c r="AJ1" s="209" t="s">
        <v>365</v>
      </c>
      <c r="AK1" s="209" t="s">
        <v>357</v>
      </c>
      <c r="AL1" s="102" t="s">
        <v>216</v>
      </c>
      <c r="AM1" s="102" t="s">
        <v>99</v>
      </c>
      <c r="AN1" s="216"/>
      <c r="AO1" s="216"/>
      <c r="AP1" s="216"/>
      <c r="AQ1" s="216"/>
      <c r="AR1" s="216"/>
      <c r="AS1" s="216"/>
      <c r="AT1" s="216"/>
    </row>
    <row r="2" spans="1:46" ht="15.75" customHeight="1" x14ac:dyDescent="0.25">
      <c r="A2" s="88" t="s">
        <v>16</v>
      </c>
      <c r="B2" s="25">
        <f>C2/C20*100</f>
        <v>16.110823431719684</v>
      </c>
      <c r="C2" s="25">
        <f t="shared" ref="C2:C16" si="0">SUM(D2:G2)</f>
        <v>3453.5</v>
      </c>
      <c r="D2" s="25">
        <v>714.1</v>
      </c>
      <c r="E2" s="25">
        <v>1977.6</v>
      </c>
      <c r="F2" s="25">
        <v>475.4</v>
      </c>
      <c r="G2" s="25">
        <v>286.39999999999998</v>
      </c>
      <c r="H2" s="88"/>
      <c r="I2" s="88" t="s">
        <v>563</v>
      </c>
      <c r="J2" s="25">
        <f>K2/K20*100</f>
        <v>21.921400749434376</v>
      </c>
      <c r="K2" s="25">
        <f t="shared" ref="K2:K16" si="1">SUM(L2:O2)</f>
        <v>5466</v>
      </c>
      <c r="L2" s="25">
        <v>1610.4</v>
      </c>
      <c r="M2" s="25">
        <v>1874.2</v>
      </c>
      <c r="N2" s="88">
        <v>1820.9</v>
      </c>
      <c r="O2" s="88">
        <v>160.5</v>
      </c>
      <c r="P2" s="88"/>
      <c r="Q2" s="88" t="s">
        <v>563</v>
      </c>
      <c r="R2" s="25">
        <f>S2/S20*100</f>
        <v>22.106036450029695</v>
      </c>
      <c r="S2" s="25">
        <f t="shared" ref="S2:S16" si="2">SUM(T2:W2)</f>
        <v>5657.2</v>
      </c>
      <c r="T2" s="25">
        <v>1697.4</v>
      </c>
      <c r="U2" s="25">
        <v>1937.5</v>
      </c>
      <c r="V2" s="25">
        <v>1865.1</v>
      </c>
      <c r="W2" s="25">
        <v>157.19999999999999</v>
      </c>
      <c r="X2" s="88"/>
      <c r="Y2" s="88" t="s">
        <v>563</v>
      </c>
      <c r="Z2" s="25">
        <f>AA2/AA20*100</f>
        <v>24.814154589776177</v>
      </c>
      <c r="AA2" s="25">
        <f t="shared" ref="AA2:AA16" si="3">SUM(AB2:AE2)</f>
        <v>6495</v>
      </c>
      <c r="AB2" s="25">
        <v>1821.5</v>
      </c>
      <c r="AC2" s="25">
        <v>2103.3000000000002</v>
      </c>
      <c r="AD2" s="25">
        <v>2147.5</v>
      </c>
      <c r="AE2" s="25">
        <v>422.7</v>
      </c>
      <c r="AF2" s="88"/>
      <c r="AG2" s="88" t="s">
        <v>563</v>
      </c>
      <c r="AH2" s="222">
        <f>AI2/AI20*100</f>
        <v>24.137892721299817</v>
      </c>
      <c r="AI2" s="222">
        <f t="shared" ref="AI2:AI16" si="4">SUM(AJ2:AM2)</f>
        <v>6517.4</v>
      </c>
      <c r="AJ2" s="222">
        <f>('ISPs (RV)'!J10)</f>
        <v>1245</v>
      </c>
      <c r="AK2" s="222">
        <f>('CableSatIPTV (RV)'!M19)</f>
        <v>2385.6999999999998</v>
      </c>
      <c r="AL2" s="222">
        <f>('Total TV Universe (RV)'!O3)</f>
        <v>2472.6</v>
      </c>
      <c r="AM2" s="222">
        <f>('Radio (RV)'!M3)</f>
        <v>414.1</v>
      </c>
      <c r="AN2" s="25"/>
      <c r="AO2" s="25"/>
      <c r="AP2" s="25"/>
      <c r="AQ2" s="25"/>
      <c r="AR2" s="25"/>
      <c r="AS2" s="25"/>
      <c r="AT2" s="25"/>
    </row>
    <row r="3" spans="1:46" ht="15.75" customHeight="1" x14ac:dyDescent="0.25">
      <c r="A3" s="88" t="s">
        <v>563</v>
      </c>
      <c r="B3" s="25">
        <f>C3/C20*100</f>
        <v>12.547642039755736</v>
      </c>
      <c r="C3" s="25">
        <f t="shared" si="0"/>
        <v>2689.7</v>
      </c>
      <c r="D3" s="25">
        <v>1257.9000000000001</v>
      </c>
      <c r="E3" s="25">
        <v>1380.1</v>
      </c>
      <c r="F3" s="25">
        <v>51.7</v>
      </c>
      <c r="G3" s="25"/>
      <c r="H3" s="88"/>
      <c r="I3" s="88" t="s">
        <v>16</v>
      </c>
      <c r="J3" s="25">
        <f>K3/K20*100</f>
        <v>20.579085924912661</v>
      </c>
      <c r="K3" s="25">
        <f t="shared" si="1"/>
        <v>5131.2999999999993</v>
      </c>
      <c r="L3" s="25">
        <v>976.6</v>
      </c>
      <c r="M3" s="25">
        <v>2369.6999999999998</v>
      </c>
      <c r="N3" s="88">
        <v>1589.3</v>
      </c>
      <c r="O3" s="88">
        <v>195.7</v>
      </c>
      <c r="P3" s="88"/>
      <c r="Q3" s="88" t="s">
        <v>16</v>
      </c>
      <c r="R3" s="25">
        <f>S3/S20*100</f>
        <v>19.16049266935509</v>
      </c>
      <c r="S3" s="25">
        <f t="shared" si="2"/>
        <v>4903.3999999999996</v>
      </c>
      <c r="T3" s="25">
        <v>1017</v>
      </c>
      <c r="U3" s="25">
        <v>2179.5</v>
      </c>
      <c r="V3" s="25">
        <v>1515.5</v>
      </c>
      <c r="W3" s="25">
        <v>191.4</v>
      </c>
      <c r="X3" s="88"/>
      <c r="Y3" s="88" t="s">
        <v>16</v>
      </c>
      <c r="Z3" s="25">
        <f>AA3/AA20*100</f>
        <v>18.807180723493637</v>
      </c>
      <c r="AA3" s="25">
        <f t="shared" si="3"/>
        <v>4922.7</v>
      </c>
      <c r="AB3" s="25">
        <v>1104.0999999999999</v>
      </c>
      <c r="AC3" s="25">
        <v>2124.1</v>
      </c>
      <c r="AD3" s="25">
        <v>1510.8</v>
      </c>
      <c r="AE3" s="25">
        <v>183.7</v>
      </c>
      <c r="AF3" s="88"/>
      <c r="AG3" s="88" t="s">
        <v>16</v>
      </c>
      <c r="AH3" s="222">
        <f>AI3/AI22*100</f>
        <v>26.871775852402024</v>
      </c>
      <c r="AI3" s="222">
        <f t="shared" si="4"/>
        <v>4990.8930656960001</v>
      </c>
      <c r="AJ3" s="222">
        <f>('ISPs (RV)'!J11)</f>
        <v>1142.5999999999999</v>
      </c>
      <c r="AK3" s="222">
        <f>('CableSatIPTV (RV)'!M3)</f>
        <v>2130.1</v>
      </c>
      <c r="AL3" s="222">
        <f>('Total TV Universe (RV)'!O17)</f>
        <v>1545.5930656959999</v>
      </c>
      <c r="AM3" s="222">
        <f>('Radio (RV)'!M16)</f>
        <v>172.6</v>
      </c>
      <c r="AN3" s="25"/>
      <c r="AO3" s="25"/>
      <c r="AP3" s="25"/>
      <c r="AQ3" s="25"/>
      <c r="AR3" s="25"/>
      <c r="AS3" s="25"/>
      <c r="AT3" s="25"/>
    </row>
    <row r="4" spans="1:46" ht="15.75" customHeight="1" x14ac:dyDescent="0.25">
      <c r="A4" s="88" t="s">
        <v>17</v>
      </c>
      <c r="B4" s="25">
        <f>C4/C20*100</f>
        <v>14.086182525576252</v>
      </c>
      <c r="C4" s="25">
        <f t="shared" si="0"/>
        <v>3019.5</v>
      </c>
      <c r="D4" s="25">
        <v>695</v>
      </c>
      <c r="E4" s="25">
        <v>1600.2</v>
      </c>
      <c r="F4" s="25">
        <v>483</v>
      </c>
      <c r="G4" s="25">
        <v>241.3</v>
      </c>
      <c r="H4" s="88"/>
      <c r="I4" s="88" t="s">
        <v>17</v>
      </c>
      <c r="J4" s="25">
        <f>K4/K20*100</f>
        <v>14.825620591005134</v>
      </c>
      <c r="K4" s="25">
        <f t="shared" si="1"/>
        <v>3696.7</v>
      </c>
      <c r="L4" s="25">
        <v>926</v>
      </c>
      <c r="M4" s="25">
        <v>1830.6</v>
      </c>
      <c r="N4" s="83">
        <v>719.3</v>
      </c>
      <c r="O4" s="88">
        <v>220.8</v>
      </c>
      <c r="P4" s="88"/>
      <c r="Q4" s="88" t="s">
        <v>17</v>
      </c>
      <c r="R4" s="25">
        <f>S4/S20*100</f>
        <v>14.86839225983932</v>
      </c>
      <c r="S4" s="25">
        <f t="shared" si="2"/>
        <v>3805</v>
      </c>
      <c r="T4" s="25">
        <v>998</v>
      </c>
      <c r="U4" s="25">
        <v>1838.5</v>
      </c>
      <c r="V4" s="24">
        <v>743.4</v>
      </c>
      <c r="W4" s="25">
        <v>225.1</v>
      </c>
      <c r="X4" s="88"/>
      <c r="Y4" s="88" t="s">
        <v>17</v>
      </c>
      <c r="Z4" s="25">
        <f>AA4/AA20*100</f>
        <v>14.894223505503067</v>
      </c>
      <c r="AA4" s="25">
        <f t="shared" si="3"/>
        <v>3898.5</v>
      </c>
      <c r="AB4" s="25">
        <v>1159</v>
      </c>
      <c r="AC4" s="25">
        <v>1771.6</v>
      </c>
      <c r="AD4" s="24">
        <v>743.4</v>
      </c>
      <c r="AE4" s="25">
        <v>224.5</v>
      </c>
      <c r="AF4" s="88"/>
      <c r="AG4" s="88" t="s">
        <v>17</v>
      </c>
      <c r="AH4" s="222">
        <f t="shared" ref="AH4:AH5" si="5">AI4/AI22*100</f>
        <v>25.435318816358855</v>
      </c>
      <c r="AI4" s="222">
        <f t="shared" si="4"/>
        <v>4724.0999999999995</v>
      </c>
      <c r="AJ4" s="222">
        <f>('ISPs (RV)'!J4)</f>
        <v>1365</v>
      </c>
      <c r="AK4" s="222">
        <f>('CableSatIPTV (RV)'!M19)</f>
        <v>2385.6999999999998</v>
      </c>
      <c r="AL4" s="222">
        <f>('Total TV Universe (RV)'!O26)</f>
        <v>744.9</v>
      </c>
      <c r="AM4" s="222">
        <f>('Radio (RV)'!M13)</f>
        <v>228.5</v>
      </c>
      <c r="AN4" s="25"/>
      <c r="AO4" s="626" t="s">
        <v>8</v>
      </c>
      <c r="AP4" s="623"/>
      <c r="AQ4" s="623"/>
      <c r="AR4" s="623"/>
      <c r="AS4" s="623"/>
      <c r="AT4" s="25"/>
    </row>
    <row r="5" spans="1:46" ht="15.75" customHeight="1" x14ac:dyDescent="0.25">
      <c r="A5" s="88" t="s">
        <v>294</v>
      </c>
      <c r="B5" s="25">
        <f>C5/C20*100</f>
        <v>7.5452861787935186</v>
      </c>
      <c r="C5" s="25">
        <f t="shared" si="0"/>
        <v>1617.4</v>
      </c>
      <c r="D5" s="25">
        <v>438.1</v>
      </c>
      <c r="E5" s="25">
        <v>836.4</v>
      </c>
      <c r="F5" s="25">
        <v>342.9</v>
      </c>
      <c r="G5" s="25"/>
      <c r="H5" s="88"/>
      <c r="I5" s="88" t="s">
        <v>294</v>
      </c>
      <c r="J5" s="25">
        <f>K5/K20*100</f>
        <v>8.4573453897561706</v>
      </c>
      <c r="K5" s="25">
        <f t="shared" si="1"/>
        <v>2108.8000000000002</v>
      </c>
      <c r="L5" s="25">
        <v>689.2</v>
      </c>
      <c r="M5" s="25">
        <v>1040.9000000000001</v>
      </c>
      <c r="N5" s="88">
        <v>378.7</v>
      </c>
      <c r="O5" s="88"/>
      <c r="P5" s="88"/>
      <c r="Q5" s="88" t="s">
        <v>294</v>
      </c>
      <c r="R5" s="25">
        <f>S5/S20*100</f>
        <v>8.7854418706430337</v>
      </c>
      <c r="S5" s="25">
        <f t="shared" si="2"/>
        <v>2248.3000000000002</v>
      </c>
      <c r="T5" s="25">
        <v>772.5</v>
      </c>
      <c r="U5" s="25">
        <v>1086.3</v>
      </c>
      <c r="V5" s="25">
        <v>389.5</v>
      </c>
      <c r="W5" s="25"/>
      <c r="X5" s="88"/>
      <c r="Y5" s="88" t="s">
        <v>294</v>
      </c>
      <c r="Z5" s="25">
        <f>AA5/AA20*100</f>
        <v>8.7432167480681713</v>
      </c>
      <c r="AA5" s="25">
        <f t="shared" si="3"/>
        <v>2288.5</v>
      </c>
      <c r="AB5" s="25">
        <v>818.4</v>
      </c>
      <c r="AC5" s="25">
        <v>1090</v>
      </c>
      <c r="AD5" s="25">
        <v>380.1</v>
      </c>
      <c r="AE5" s="25"/>
      <c r="AF5" s="88"/>
      <c r="AG5" s="88" t="s">
        <v>294</v>
      </c>
      <c r="AH5" s="222">
        <f t="shared" si="5"/>
        <v>2.2921772453988964E-3</v>
      </c>
      <c r="AI5" s="222">
        <f t="shared" si="4"/>
        <v>2340.6</v>
      </c>
      <c r="AJ5" s="222">
        <f>('ISPs (RV)'!J13)</f>
        <v>868.3</v>
      </c>
      <c r="AK5" s="222">
        <f>('CableSatIPTV (RV)'!M27)</f>
        <v>1080</v>
      </c>
      <c r="AL5" s="222">
        <f>('Total TV Universe (RV)'!O29)</f>
        <v>392.3</v>
      </c>
      <c r="AM5" s="88"/>
      <c r="AN5" s="25"/>
      <c r="AO5" s="623"/>
      <c r="AP5" s="623"/>
      <c r="AQ5" s="623"/>
      <c r="AR5" s="623"/>
      <c r="AS5" s="623"/>
      <c r="AT5" s="25"/>
    </row>
    <row r="6" spans="1:46" ht="15.75" customHeight="1" x14ac:dyDescent="0.25">
      <c r="A6" s="88" t="s">
        <v>499</v>
      </c>
      <c r="B6" s="25">
        <f>C6/C20*100</f>
        <v>8.2007286841233622</v>
      </c>
      <c r="C6" s="25">
        <f t="shared" si="0"/>
        <v>1757.8999999999999</v>
      </c>
      <c r="D6" s="24"/>
      <c r="E6" s="25"/>
      <c r="F6" s="25">
        <v>1585.8</v>
      </c>
      <c r="G6" s="25">
        <v>172.1</v>
      </c>
      <c r="H6" s="88"/>
      <c r="I6" s="88" t="s">
        <v>178</v>
      </c>
      <c r="J6" s="25">
        <f>K6/K20*100</f>
        <v>7.3600722018591229</v>
      </c>
      <c r="K6" s="25">
        <f t="shared" si="1"/>
        <v>1835.1999999999998</v>
      </c>
      <c r="L6" s="25"/>
      <c r="M6" s="25"/>
      <c r="N6" s="88">
        <v>1498.3</v>
      </c>
      <c r="O6" s="88">
        <v>336.9</v>
      </c>
      <c r="P6" s="88"/>
      <c r="Q6" s="88" t="s">
        <v>178</v>
      </c>
      <c r="R6" s="25">
        <f>S6/S20*100</f>
        <v>7.2626527868954946</v>
      </c>
      <c r="S6" s="25">
        <f t="shared" si="2"/>
        <v>1858.6</v>
      </c>
      <c r="T6" s="25"/>
      <c r="U6" s="25"/>
      <c r="V6" s="25">
        <v>1532.8</v>
      </c>
      <c r="W6" s="25">
        <v>325.8</v>
      </c>
      <c r="X6" s="88"/>
      <c r="Y6" s="88" t="s">
        <v>178</v>
      </c>
      <c r="Z6" s="25">
        <f>AA6/AA20*100</f>
        <v>7.0369809605710136</v>
      </c>
      <c r="AA6" s="25">
        <f t="shared" si="3"/>
        <v>1841.8999999999999</v>
      </c>
      <c r="AB6" s="25"/>
      <c r="AC6" s="25"/>
      <c r="AD6" s="25">
        <v>1537.1</v>
      </c>
      <c r="AE6" s="25">
        <v>304.8</v>
      </c>
      <c r="AF6" s="88"/>
      <c r="AG6" s="88" t="s">
        <v>178</v>
      </c>
      <c r="AH6" s="222">
        <f>AI6/AI22*100</f>
        <v>9.2451442474904848</v>
      </c>
      <c r="AI6" s="222">
        <f t="shared" si="4"/>
        <v>1717.1000000000001</v>
      </c>
      <c r="AJ6" s="25"/>
      <c r="AK6" s="88"/>
      <c r="AL6" s="222">
        <f>('Total TV Universe (RV)'!O25)</f>
        <v>1428.4</v>
      </c>
      <c r="AM6" s="222">
        <f>('Radio (RV)'!M12)</f>
        <v>288.7</v>
      </c>
      <c r="AN6" s="25"/>
      <c r="AO6" s="623"/>
      <c r="AP6" s="623"/>
      <c r="AQ6" s="623"/>
      <c r="AR6" s="623"/>
      <c r="AS6" s="623"/>
      <c r="AT6" s="25"/>
    </row>
    <row r="7" spans="1:46" ht="15.75" customHeight="1" x14ac:dyDescent="0.25">
      <c r="A7" s="88" t="s">
        <v>386</v>
      </c>
      <c r="B7" s="25">
        <f>C7/C20*100</f>
        <v>4.8082888985300363</v>
      </c>
      <c r="C7" s="25">
        <f t="shared" si="0"/>
        <v>1030.7</v>
      </c>
      <c r="D7" s="25"/>
      <c r="E7" s="25"/>
      <c r="F7" s="25">
        <v>1030.7</v>
      </c>
      <c r="G7" s="25"/>
      <c r="H7" s="88"/>
      <c r="I7" s="88" t="s">
        <v>20</v>
      </c>
      <c r="J7" s="25">
        <f>K7/K20*100</f>
        <v>4.2146359399159508</v>
      </c>
      <c r="K7" s="25">
        <f t="shared" si="1"/>
        <v>1050.8999999999999</v>
      </c>
      <c r="L7" s="25">
        <v>307.8</v>
      </c>
      <c r="M7" s="25">
        <v>639.70000000000005</v>
      </c>
      <c r="N7" s="88">
        <v>19.3</v>
      </c>
      <c r="O7" s="88">
        <v>84.1</v>
      </c>
      <c r="P7" s="88"/>
      <c r="Q7" s="88" t="s">
        <v>20</v>
      </c>
      <c r="R7" s="25">
        <f>S7/S20*100</f>
        <v>4.3557941792491173</v>
      </c>
      <c r="S7" s="25">
        <f t="shared" si="2"/>
        <v>1114.7</v>
      </c>
      <c r="T7" s="25">
        <v>345.2</v>
      </c>
      <c r="U7" s="25">
        <v>652.70000000000005</v>
      </c>
      <c r="V7" s="25">
        <v>21.4</v>
      </c>
      <c r="W7" s="25">
        <v>95.4</v>
      </c>
      <c r="X7" s="88"/>
      <c r="Y7" s="88" t="s">
        <v>20</v>
      </c>
      <c r="Z7" s="25">
        <f>AA7/AA20*100</f>
        <v>4.2632971680879503</v>
      </c>
      <c r="AA7" s="25">
        <f t="shared" si="3"/>
        <v>1115.9000000000001</v>
      </c>
      <c r="AB7" s="25">
        <v>373</v>
      </c>
      <c r="AC7" s="25">
        <v>631.5</v>
      </c>
      <c r="AD7" s="25">
        <v>16.7</v>
      </c>
      <c r="AE7" s="25">
        <v>94.7</v>
      </c>
      <c r="AF7" s="88"/>
      <c r="AG7" s="88" t="s">
        <v>20</v>
      </c>
      <c r="AH7" s="222">
        <f>AI7/AI22*100</f>
        <v>5.9796501084752958</v>
      </c>
      <c r="AI7" s="222">
        <f t="shared" si="4"/>
        <v>1110.5999999999999</v>
      </c>
      <c r="AJ7" s="222">
        <f>('ISPs (RV)'!J17)</f>
        <v>395.4</v>
      </c>
      <c r="AK7" s="222">
        <f>('CableSatIPTV (RV)'!M33)</f>
        <v>600.5</v>
      </c>
      <c r="AL7" s="222">
        <f>('Total TV Universe (RV)'!O40)</f>
        <v>17.600000000000001</v>
      </c>
      <c r="AM7" s="222">
        <f>('Radio (RV)'!M21)</f>
        <v>97.1</v>
      </c>
      <c r="AN7" s="25"/>
      <c r="AO7" s="623"/>
      <c r="AP7" s="623"/>
      <c r="AQ7" s="623"/>
      <c r="AR7" s="623"/>
      <c r="AS7" s="623"/>
      <c r="AT7" s="25"/>
    </row>
    <row r="8" spans="1:46" ht="15.75" customHeight="1" x14ac:dyDescent="0.25">
      <c r="A8" s="88" t="s">
        <v>178</v>
      </c>
      <c r="B8" s="25">
        <f>C8/C20*100</f>
        <v>8.3201545071585521</v>
      </c>
      <c r="C8" s="25">
        <f t="shared" si="0"/>
        <v>1783.5</v>
      </c>
      <c r="D8" s="25"/>
      <c r="E8" s="25"/>
      <c r="F8" s="25">
        <v>1386.9</v>
      </c>
      <c r="G8" s="25">
        <v>396.6</v>
      </c>
      <c r="H8" s="88"/>
      <c r="I8" s="88" t="s">
        <v>269</v>
      </c>
      <c r="J8" s="25">
        <f>K8/K20*100</f>
        <v>3.6022323734251662</v>
      </c>
      <c r="K8" s="25">
        <f t="shared" si="1"/>
        <v>898.2</v>
      </c>
      <c r="L8" s="25"/>
      <c r="M8" s="25"/>
      <c r="N8" s="399">
        <v>557.9</v>
      </c>
      <c r="O8" s="399">
        <v>340.3</v>
      </c>
      <c r="P8" s="88"/>
      <c r="Q8" s="88" t="s">
        <v>13</v>
      </c>
      <c r="R8" s="25">
        <f>S8/S20*100</f>
        <v>4.5289005595673508</v>
      </c>
      <c r="S8" s="25">
        <f t="shared" si="2"/>
        <v>1159</v>
      </c>
      <c r="T8" s="25">
        <v>722.4</v>
      </c>
      <c r="U8" s="25">
        <v>436.6</v>
      </c>
      <c r="V8" s="24"/>
      <c r="W8" s="25"/>
      <c r="X8" s="88"/>
      <c r="Y8" s="88" t="s">
        <v>13</v>
      </c>
      <c r="Z8" s="25">
        <f>AA8/AA20*100</f>
        <v>5.0021820791984517</v>
      </c>
      <c r="AA8" s="25">
        <f t="shared" si="3"/>
        <v>1309.3</v>
      </c>
      <c r="AB8" s="25">
        <v>795.3</v>
      </c>
      <c r="AC8" s="25">
        <v>514</v>
      </c>
      <c r="AD8" s="24"/>
      <c r="AE8" s="25"/>
      <c r="AF8" s="88"/>
      <c r="AG8" s="88" t="s">
        <v>13</v>
      </c>
      <c r="AH8" s="222">
        <f>AI8/AI22*100</f>
        <v>8.2884886380713887</v>
      </c>
      <c r="AI8" s="222">
        <f t="shared" si="4"/>
        <v>1539.4204199999999</v>
      </c>
      <c r="AJ8" s="222">
        <f>('ISPs (RV)'!J15)</f>
        <v>880.221</v>
      </c>
      <c r="AK8" s="222">
        <f>('CableSatIPTV (RV)'!M35)</f>
        <v>659.19942000000003</v>
      </c>
      <c r="AL8" s="88"/>
      <c r="AM8" s="88"/>
      <c r="AN8" s="25"/>
      <c r="AO8" s="623"/>
      <c r="AP8" s="623"/>
      <c r="AQ8" s="623"/>
      <c r="AR8" s="623"/>
      <c r="AS8" s="623"/>
      <c r="AT8" s="25"/>
    </row>
    <row r="9" spans="1:46" ht="15.75" customHeight="1" x14ac:dyDescent="0.25">
      <c r="A9" s="88" t="s">
        <v>20</v>
      </c>
      <c r="B9" s="25">
        <f>C9/C20*100</f>
        <v>3.5510522068119368</v>
      </c>
      <c r="C9" s="25">
        <f t="shared" si="0"/>
        <v>761.2</v>
      </c>
      <c r="D9" s="25">
        <v>215.9</v>
      </c>
      <c r="E9" s="25">
        <v>512.1</v>
      </c>
      <c r="F9" s="25"/>
      <c r="G9" s="25">
        <v>33.200000000000003</v>
      </c>
      <c r="H9" s="88"/>
      <c r="I9" s="88" t="s">
        <v>13</v>
      </c>
      <c r="J9" s="25">
        <f>K9/K20*100</f>
        <v>3.6684056468180808</v>
      </c>
      <c r="K9" s="25">
        <f t="shared" si="1"/>
        <v>914.7</v>
      </c>
      <c r="L9" s="25">
        <v>644</v>
      </c>
      <c r="M9" s="25">
        <v>270.7</v>
      </c>
      <c r="N9" s="25"/>
      <c r="O9" s="88"/>
      <c r="P9" s="88"/>
      <c r="Q9" s="88" t="s">
        <v>269</v>
      </c>
      <c r="R9" s="25">
        <f>S9/S20*100</f>
        <v>3.4840101284816654</v>
      </c>
      <c r="S9" s="25">
        <f t="shared" si="2"/>
        <v>891.6</v>
      </c>
      <c r="T9" s="253"/>
      <c r="U9" s="253"/>
      <c r="V9" s="253">
        <v>561.6</v>
      </c>
      <c r="W9" s="253">
        <v>330</v>
      </c>
      <c r="X9" s="88"/>
      <c r="Y9" s="88" t="s">
        <v>269</v>
      </c>
      <c r="Z9" s="25">
        <f>AA9/AA20*100</f>
        <v>0</v>
      </c>
      <c r="AA9" s="25">
        <f t="shared" si="3"/>
        <v>0</v>
      </c>
      <c r="AB9" s="25"/>
      <c r="AC9" s="25"/>
      <c r="AD9" s="25"/>
      <c r="AE9" s="25"/>
      <c r="AF9" s="88"/>
      <c r="AG9" s="88" t="s">
        <v>269</v>
      </c>
      <c r="AH9" s="222">
        <f>AI9/AI22*100</f>
        <v>0</v>
      </c>
      <c r="AI9" s="222">
        <f t="shared" si="4"/>
        <v>0</v>
      </c>
      <c r="AJ9" s="25"/>
      <c r="AK9" s="88"/>
      <c r="AL9" s="88"/>
      <c r="AM9" s="88"/>
      <c r="AN9" s="25"/>
      <c r="AO9" s="623"/>
      <c r="AP9" s="623"/>
      <c r="AQ9" s="623"/>
      <c r="AR9" s="623"/>
      <c r="AS9" s="623"/>
      <c r="AT9" s="25"/>
    </row>
    <row r="10" spans="1:46" ht="15.75" customHeight="1" x14ac:dyDescent="0.25">
      <c r="A10" s="88" t="s">
        <v>13</v>
      </c>
      <c r="B10" s="25">
        <f>C10/C20*100</f>
        <v>2.5163394119211224</v>
      </c>
      <c r="C10" s="25">
        <f t="shared" si="0"/>
        <v>539.4</v>
      </c>
      <c r="D10" s="25">
        <v>505.6</v>
      </c>
      <c r="E10" s="25">
        <v>33.799999999999997</v>
      </c>
      <c r="F10" s="25"/>
      <c r="G10" s="25"/>
      <c r="H10" s="88"/>
      <c r="I10" s="88" t="s">
        <v>600</v>
      </c>
      <c r="J10" s="25">
        <f>K10/K20*100</f>
        <v>1.9928181544811456</v>
      </c>
      <c r="K10" s="25">
        <f t="shared" si="1"/>
        <v>496.9</v>
      </c>
      <c r="L10" s="25">
        <v>170.5</v>
      </c>
      <c r="M10" s="25">
        <v>326.39999999999998</v>
      </c>
      <c r="N10" s="88"/>
      <c r="O10" s="88"/>
      <c r="P10" s="88"/>
      <c r="Q10" s="88" t="s">
        <v>600</v>
      </c>
      <c r="R10" s="25">
        <f>S10/S20*100</f>
        <v>2.0448435399668634</v>
      </c>
      <c r="S10" s="25">
        <f t="shared" si="2"/>
        <v>523.29999999999995</v>
      </c>
      <c r="T10" s="25">
        <v>191.6</v>
      </c>
      <c r="U10" s="25">
        <v>331.7</v>
      </c>
      <c r="V10" s="25"/>
      <c r="W10" s="25"/>
      <c r="X10" s="88"/>
      <c r="Y10" s="88" t="s">
        <v>170</v>
      </c>
      <c r="Z10" s="25">
        <f>AA10/AA20*100</f>
        <v>2.0439680839923411</v>
      </c>
      <c r="AA10" s="25">
        <f t="shared" si="3"/>
        <v>535</v>
      </c>
      <c r="AB10" s="25">
        <v>202.3</v>
      </c>
      <c r="AC10" s="25">
        <v>332.7</v>
      </c>
      <c r="AD10" s="25"/>
      <c r="AE10" s="25"/>
      <c r="AF10" s="88"/>
      <c r="AG10" s="88" t="s">
        <v>170</v>
      </c>
      <c r="AH10" s="222">
        <f>AI10/AI22*100</f>
        <v>2.8751424076407419</v>
      </c>
      <c r="AI10" s="222">
        <f t="shared" si="4"/>
        <v>534</v>
      </c>
      <c r="AJ10" s="222">
        <f>('ISPs (RV)'!J18)</f>
        <v>207.6</v>
      </c>
      <c r="AK10" s="222">
        <f>('CableSatIPTV (RV)'!M36)</f>
        <v>326.39999999999998</v>
      </c>
      <c r="AL10" s="88"/>
      <c r="AM10" s="88"/>
      <c r="AN10" s="25"/>
      <c r="AO10" s="623"/>
      <c r="AP10" s="623"/>
      <c r="AQ10" s="623"/>
      <c r="AR10" s="623"/>
      <c r="AS10" s="623"/>
      <c r="AT10" s="25"/>
    </row>
    <row r="11" spans="1:46" ht="15.75" customHeight="1" x14ac:dyDescent="0.25">
      <c r="A11" s="88" t="s">
        <v>28</v>
      </c>
      <c r="B11" s="25">
        <f>C11/C20*100</f>
        <v>0.62931810654089626</v>
      </c>
      <c r="C11" s="25">
        <f t="shared" si="0"/>
        <v>134.9</v>
      </c>
      <c r="D11" s="25">
        <v>84.9</v>
      </c>
      <c r="E11" s="25">
        <v>50</v>
      </c>
      <c r="F11" s="25"/>
      <c r="G11" s="25"/>
      <c r="H11" s="88"/>
      <c r="I11" s="88" t="s">
        <v>19</v>
      </c>
      <c r="J11" s="25">
        <f>K11/K20*100</f>
        <v>0.73993751157530974</v>
      </c>
      <c r="K11" s="25">
        <f t="shared" si="1"/>
        <v>184.5</v>
      </c>
      <c r="L11" s="25">
        <v>124.7</v>
      </c>
      <c r="M11" s="25">
        <v>59.8</v>
      </c>
      <c r="N11" s="88"/>
      <c r="O11" s="88"/>
      <c r="P11" s="88"/>
      <c r="Q11" s="88" t="s">
        <v>19</v>
      </c>
      <c r="R11" s="25">
        <f>S11/S20*100</f>
        <v>0.8061364844165182</v>
      </c>
      <c r="S11" s="25">
        <f t="shared" si="2"/>
        <v>206.3</v>
      </c>
      <c r="T11" s="25">
        <v>136</v>
      </c>
      <c r="U11" s="25">
        <v>70.3</v>
      </c>
      <c r="V11" s="25"/>
      <c r="W11" s="25"/>
      <c r="X11" s="88"/>
      <c r="Y11" s="88" t="s">
        <v>19</v>
      </c>
      <c r="Z11" s="25">
        <f>AA11/AA20*100</f>
        <v>0.80268727933979589</v>
      </c>
      <c r="AA11" s="25">
        <f t="shared" si="3"/>
        <v>210.1</v>
      </c>
      <c r="AB11" s="25">
        <v>140</v>
      </c>
      <c r="AC11" s="25">
        <v>70.099999999999994</v>
      </c>
      <c r="AD11" s="25"/>
      <c r="AE11" s="25"/>
      <c r="AF11" s="88"/>
      <c r="AG11" s="88" t="s">
        <v>19</v>
      </c>
      <c r="AH11" s="222">
        <f>AI11/AI22*100</f>
        <v>1.191507218665443</v>
      </c>
      <c r="AI11" s="222">
        <f t="shared" si="4"/>
        <v>221.29855309999999</v>
      </c>
      <c r="AJ11" s="222">
        <f>('ISPs (RV)'!J19)</f>
        <v>141.35281599999999</v>
      </c>
      <c r="AK11" s="222">
        <f>('CableSatIPTV (RV)'!M38)</f>
        <v>79.945737100000002</v>
      </c>
      <c r="AL11" s="88"/>
      <c r="AM11" s="88"/>
      <c r="AN11" s="25"/>
      <c r="AO11" s="623"/>
      <c r="AP11" s="623"/>
      <c r="AQ11" s="623"/>
      <c r="AR11" s="623"/>
      <c r="AS11" s="623"/>
      <c r="AT11" s="25"/>
    </row>
    <row r="12" spans="1:46" ht="15.75" customHeight="1" x14ac:dyDescent="0.25">
      <c r="A12" s="88" t="s">
        <v>19</v>
      </c>
      <c r="B12" s="25">
        <f>C12/C20*100</f>
        <v>0.59199753684239986</v>
      </c>
      <c r="C12" s="25">
        <f t="shared" si="0"/>
        <v>126.9</v>
      </c>
      <c r="D12" s="25">
        <v>89.8</v>
      </c>
      <c r="E12" s="25">
        <v>37.1</v>
      </c>
      <c r="F12" s="25"/>
      <c r="G12" s="25"/>
      <c r="H12" s="88"/>
      <c r="I12" s="88" t="s">
        <v>28</v>
      </c>
      <c r="J12" s="25">
        <f>K12/K20*100</f>
        <v>0.69421779541293283</v>
      </c>
      <c r="K12" s="25">
        <f t="shared" si="1"/>
        <v>173.1</v>
      </c>
      <c r="L12" s="25">
        <v>102.5</v>
      </c>
      <c r="M12" s="25">
        <v>70.599999999999994</v>
      </c>
      <c r="N12" s="88"/>
      <c r="O12" s="88"/>
      <c r="P12" s="88"/>
      <c r="Q12" s="88" t="s">
        <v>28</v>
      </c>
      <c r="R12" s="25">
        <f>S12/S20*100</f>
        <v>0.7369720841539279</v>
      </c>
      <c r="S12" s="25">
        <f t="shared" si="2"/>
        <v>188.6</v>
      </c>
      <c r="T12" s="25">
        <v>110.1</v>
      </c>
      <c r="U12" s="25">
        <v>78.5</v>
      </c>
      <c r="V12" s="25"/>
      <c r="W12" s="25"/>
      <c r="X12" s="88"/>
      <c r="Y12" s="88" t="s">
        <v>28</v>
      </c>
      <c r="Z12" s="25">
        <f>AA12/AA20*100</f>
        <v>0.76295406798742149</v>
      </c>
      <c r="AA12" s="25">
        <f t="shared" si="3"/>
        <v>199.7</v>
      </c>
      <c r="AB12" s="25">
        <v>117.7</v>
      </c>
      <c r="AC12" s="25">
        <v>82</v>
      </c>
      <c r="AD12" s="25"/>
      <c r="AE12" s="25"/>
      <c r="AF12" s="88"/>
      <c r="AG12" s="88" t="s">
        <v>28</v>
      </c>
      <c r="AH12" s="222">
        <f>AI12/AI22*100</f>
        <v>1.150595379237503</v>
      </c>
      <c r="AI12" s="222">
        <f t="shared" si="4"/>
        <v>213.7</v>
      </c>
      <c r="AJ12" s="222">
        <f>('ISPs (RV)'!J20)</f>
        <v>128.5</v>
      </c>
      <c r="AK12" s="222">
        <f>('CableSatIPTV (RV)'!M39)</f>
        <v>85.2</v>
      </c>
      <c r="AL12" s="88"/>
      <c r="AM12" s="88"/>
      <c r="AN12" s="25"/>
      <c r="AO12" s="623"/>
      <c r="AP12" s="623"/>
      <c r="AQ12" s="623"/>
      <c r="AR12" s="623"/>
      <c r="AS12" s="623"/>
      <c r="AT12" s="25"/>
    </row>
    <row r="13" spans="1:46" ht="15.75" customHeight="1" x14ac:dyDescent="0.25">
      <c r="A13" s="88" t="s">
        <v>600</v>
      </c>
      <c r="B13" s="25">
        <f>C13/C20*100</f>
        <v>0.68203341124002248</v>
      </c>
      <c r="C13" s="25">
        <f t="shared" si="0"/>
        <v>146.19999999999999</v>
      </c>
      <c r="D13" s="25">
        <v>146.19999999999999</v>
      </c>
      <c r="E13" s="25"/>
      <c r="F13" s="25"/>
      <c r="G13" s="25"/>
      <c r="H13" s="88"/>
      <c r="I13" s="88" t="s">
        <v>462</v>
      </c>
      <c r="J13" s="25">
        <f>K13/K20*100</f>
        <v>0</v>
      </c>
      <c r="K13" s="25">
        <f t="shared" si="1"/>
        <v>0</v>
      </c>
      <c r="L13" s="25"/>
      <c r="M13" s="25"/>
      <c r="N13" s="88"/>
      <c r="O13" s="88"/>
      <c r="P13" s="88"/>
      <c r="Q13" s="88" t="s">
        <v>462</v>
      </c>
      <c r="R13" s="25">
        <f>S13/S20*100</f>
        <v>0</v>
      </c>
      <c r="S13" s="25">
        <f t="shared" si="2"/>
        <v>0</v>
      </c>
      <c r="T13" s="25"/>
      <c r="U13" s="25"/>
      <c r="V13" s="25"/>
      <c r="W13" s="25"/>
      <c r="X13" s="88"/>
      <c r="Y13" s="88" t="s">
        <v>462</v>
      </c>
      <c r="Z13" s="25">
        <f>AA13/AA20*100</f>
        <v>0</v>
      </c>
      <c r="AA13" s="25">
        <f t="shared" si="3"/>
        <v>0</v>
      </c>
      <c r="AB13" s="25"/>
      <c r="AC13" s="25"/>
      <c r="AD13" s="25"/>
      <c r="AE13" s="25"/>
      <c r="AF13" s="88"/>
      <c r="AG13" s="88" t="s">
        <v>462</v>
      </c>
      <c r="AH13" s="222">
        <f>AI13/AI22*100</f>
        <v>0</v>
      </c>
      <c r="AI13" s="222">
        <f t="shared" si="4"/>
        <v>0</v>
      </c>
      <c r="AJ13" s="25"/>
      <c r="AK13" s="88"/>
      <c r="AL13" s="88"/>
      <c r="AM13" s="88"/>
      <c r="AN13" s="25"/>
      <c r="AO13" s="623"/>
      <c r="AP13" s="623"/>
      <c r="AQ13" s="623"/>
      <c r="AR13" s="623"/>
      <c r="AS13" s="623"/>
      <c r="AT13" s="25"/>
    </row>
    <row r="14" spans="1:46" ht="15.75" customHeight="1" x14ac:dyDescent="0.25">
      <c r="A14" s="88" t="s">
        <v>462</v>
      </c>
      <c r="B14" s="25">
        <f>C14/C20*100</f>
        <v>0</v>
      </c>
      <c r="C14" s="25">
        <f t="shared" si="0"/>
        <v>0</v>
      </c>
      <c r="D14" s="25"/>
      <c r="E14" s="25"/>
      <c r="F14" s="25"/>
      <c r="G14" s="25"/>
      <c r="H14" s="88"/>
      <c r="I14" s="88" t="s">
        <v>192</v>
      </c>
      <c r="J14" s="25">
        <f>K14/K20*100</f>
        <v>0</v>
      </c>
      <c r="K14" s="25">
        <f t="shared" si="1"/>
        <v>0</v>
      </c>
      <c r="L14" s="25"/>
      <c r="M14" s="25"/>
      <c r="N14" s="88"/>
      <c r="O14" s="88"/>
      <c r="P14" s="88"/>
      <c r="Q14" s="88" t="s">
        <v>470</v>
      </c>
      <c r="R14" s="25">
        <f>S14/S20*100</f>
        <v>0</v>
      </c>
      <c r="S14" s="25">
        <f t="shared" si="2"/>
        <v>0</v>
      </c>
      <c r="T14" s="25"/>
      <c r="U14" s="25"/>
      <c r="V14" s="25"/>
      <c r="W14" s="25"/>
      <c r="X14" s="88"/>
      <c r="Y14" s="88" t="s">
        <v>470</v>
      </c>
      <c r="Z14" s="25">
        <f>AA14/AA20*100</f>
        <v>0</v>
      </c>
      <c r="AA14" s="25">
        <f t="shared" si="3"/>
        <v>0</v>
      </c>
      <c r="AB14" s="25"/>
      <c r="AC14" s="25"/>
      <c r="AD14" s="25"/>
      <c r="AE14" s="25"/>
      <c r="AF14" s="399"/>
      <c r="AG14" s="88" t="s">
        <v>470</v>
      </c>
      <c r="AH14" s="222">
        <f>AI14/AI22*100</f>
        <v>0</v>
      </c>
      <c r="AI14" s="222">
        <f t="shared" si="4"/>
        <v>0</v>
      </c>
      <c r="AJ14" s="399"/>
      <c r="AK14" s="399"/>
      <c r="AL14" s="399"/>
      <c r="AM14" s="399"/>
      <c r="AN14" s="399"/>
      <c r="AO14" s="623"/>
      <c r="AP14" s="623"/>
      <c r="AQ14" s="623"/>
      <c r="AR14" s="623"/>
      <c r="AS14" s="623"/>
      <c r="AT14" s="399"/>
    </row>
    <row r="15" spans="1:46" ht="15.75" customHeight="1" x14ac:dyDescent="0.25">
      <c r="A15" s="88" t="s">
        <v>620</v>
      </c>
      <c r="B15" s="25">
        <f>C15/C20*100</f>
        <v>0</v>
      </c>
      <c r="C15" s="25">
        <f t="shared" si="0"/>
        <v>0</v>
      </c>
      <c r="D15" s="25"/>
      <c r="E15" s="25"/>
      <c r="F15" s="25"/>
      <c r="G15" s="25"/>
      <c r="H15" s="88"/>
      <c r="I15" s="88" t="s">
        <v>470</v>
      </c>
      <c r="J15" s="25">
        <f>K15/K20*100</f>
        <v>0</v>
      </c>
      <c r="K15" s="25">
        <f t="shared" si="1"/>
        <v>0</v>
      </c>
      <c r="L15" s="25"/>
      <c r="M15" s="25"/>
      <c r="N15" s="88"/>
      <c r="O15" s="88"/>
      <c r="P15" s="88"/>
      <c r="Q15" s="88" t="s">
        <v>192</v>
      </c>
      <c r="R15" s="25">
        <f>S15/S20*100</f>
        <v>0</v>
      </c>
      <c r="S15" s="25">
        <f t="shared" si="2"/>
        <v>0</v>
      </c>
      <c r="T15" s="25"/>
      <c r="U15" s="25"/>
      <c r="V15" s="25"/>
      <c r="W15" s="25"/>
      <c r="X15" s="88"/>
      <c r="Y15" s="88" t="s">
        <v>192</v>
      </c>
      <c r="Z15" s="25">
        <f>AA15/AA20*100</f>
        <v>0</v>
      </c>
      <c r="AA15" s="25">
        <f t="shared" si="3"/>
        <v>0</v>
      </c>
      <c r="AB15" s="25"/>
      <c r="AC15" s="25"/>
      <c r="AD15" s="25"/>
      <c r="AE15" s="25"/>
      <c r="AF15" s="88"/>
      <c r="AG15" s="88" t="s">
        <v>192</v>
      </c>
      <c r="AH15" s="222">
        <f>AI15/AI22*100</f>
        <v>0</v>
      </c>
      <c r="AI15" s="222">
        <f t="shared" si="4"/>
        <v>0</v>
      </c>
      <c r="AJ15" s="25"/>
      <c r="AK15" s="88"/>
      <c r="AL15" s="88"/>
      <c r="AM15" s="24"/>
      <c r="AN15" s="25"/>
      <c r="AO15" s="25"/>
      <c r="AP15" s="25"/>
      <c r="AQ15" s="25"/>
      <c r="AR15" s="25"/>
      <c r="AS15" s="25"/>
      <c r="AT15" s="25"/>
    </row>
    <row r="16" spans="1:46" ht="15.75" customHeight="1" x14ac:dyDescent="0.25">
      <c r="A16" s="88" t="s">
        <v>192</v>
      </c>
      <c r="B16" s="25">
        <f>C16/C20*100</f>
        <v>0</v>
      </c>
      <c r="C16" s="25">
        <f t="shared" si="0"/>
        <v>0</v>
      </c>
      <c r="D16" s="25"/>
      <c r="E16" s="25"/>
      <c r="F16" s="25"/>
      <c r="G16" s="25"/>
      <c r="H16" s="88"/>
      <c r="I16" s="88" t="s">
        <v>625</v>
      </c>
      <c r="J16" s="25"/>
      <c r="K16" s="25">
        <f t="shared" si="1"/>
        <v>0</v>
      </c>
      <c r="L16" s="25"/>
      <c r="M16" s="25"/>
      <c r="N16" s="88"/>
      <c r="O16" s="88"/>
      <c r="P16" s="88"/>
      <c r="Q16" s="88" t="s">
        <v>625</v>
      </c>
      <c r="R16" s="25"/>
      <c r="S16" s="25">
        <f t="shared" si="2"/>
        <v>0</v>
      </c>
      <c r="T16" s="25"/>
      <c r="U16" s="25"/>
      <c r="V16" s="25"/>
      <c r="W16" s="25"/>
      <c r="X16" s="88"/>
      <c r="Y16" s="88" t="s">
        <v>625</v>
      </c>
      <c r="Z16" s="25">
        <f>AA16/AA20*100</f>
        <v>0</v>
      </c>
      <c r="AA16" s="25">
        <f t="shared" si="3"/>
        <v>0</v>
      </c>
      <c r="AB16" s="25"/>
      <c r="AC16" s="25"/>
      <c r="AD16" s="25"/>
      <c r="AE16" s="25"/>
      <c r="AF16" s="88"/>
      <c r="AG16" s="88" t="s">
        <v>625</v>
      </c>
      <c r="AH16" s="222">
        <f>AI16/AI22*100</f>
        <v>0</v>
      </c>
      <c r="AI16" s="222">
        <f t="shared" si="4"/>
        <v>0</v>
      </c>
      <c r="AJ16" s="25"/>
      <c r="AK16" s="88"/>
      <c r="AL16" s="88"/>
      <c r="AM16" s="88"/>
      <c r="AN16" s="25"/>
      <c r="AO16" s="25"/>
      <c r="AP16" s="25"/>
      <c r="AQ16" s="25"/>
      <c r="AR16" s="25"/>
      <c r="AS16" s="25"/>
      <c r="AT16" s="25"/>
    </row>
    <row r="17" spans="1:46" ht="15.75" customHeight="1" x14ac:dyDescent="0.25">
      <c r="A17" s="88"/>
      <c r="B17" s="25"/>
      <c r="C17" s="25"/>
      <c r="D17" s="25"/>
      <c r="E17" s="25"/>
      <c r="F17" s="25"/>
      <c r="G17" s="25"/>
      <c r="H17" s="88"/>
      <c r="I17" s="88"/>
      <c r="J17" s="25"/>
      <c r="K17" s="25"/>
      <c r="L17" s="25"/>
      <c r="M17" s="25"/>
      <c r="N17" s="88"/>
      <c r="O17" s="88"/>
      <c r="P17" s="88"/>
      <c r="Q17" s="88"/>
      <c r="R17" s="25"/>
      <c r="S17" s="25"/>
      <c r="T17" s="25"/>
      <c r="U17" s="25"/>
      <c r="V17" s="25"/>
      <c r="W17" s="25"/>
      <c r="X17" s="88"/>
      <c r="Y17" s="88"/>
      <c r="Z17" s="25"/>
      <c r="AA17" s="25"/>
      <c r="AB17" s="25"/>
      <c r="AC17" s="25"/>
      <c r="AD17" s="25"/>
      <c r="AE17" s="25"/>
      <c r="AF17" s="88"/>
      <c r="AG17" s="88"/>
      <c r="AH17" s="25"/>
      <c r="AI17" s="25"/>
      <c r="AJ17" s="25"/>
      <c r="AK17" s="88"/>
      <c r="AL17" s="88"/>
      <c r="AM17" s="88"/>
      <c r="AN17" s="25"/>
      <c r="AO17" s="25"/>
      <c r="AP17" s="25"/>
      <c r="AQ17" s="25"/>
      <c r="AR17" s="25"/>
      <c r="AS17" s="25"/>
      <c r="AT17" s="25"/>
    </row>
    <row r="18" spans="1:46" ht="15.75" customHeight="1" x14ac:dyDescent="0.25">
      <c r="A18" s="88"/>
      <c r="B18" s="25"/>
      <c r="C18" s="25"/>
      <c r="D18" s="25"/>
      <c r="E18" s="25"/>
      <c r="F18" s="25"/>
      <c r="G18" s="25"/>
      <c r="H18" s="88"/>
      <c r="I18" s="88"/>
      <c r="J18" s="25"/>
      <c r="K18" s="25"/>
      <c r="L18" s="25"/>
      <c r="M18" s="25"/>
      <c r="N18" s="88"/>
      <c r="O18" s="88"/>
      <c r="P18" s="88"/>
      <c r="Q18" s="88"/>
      <c r="R18" s="25"/>
      <c r="S18" s="25"/>
      <c r="T18" s="25"/>
      <c r="U18" s="25"/>
      <c r="V18" s="25"/>
      <c r="W18" s="25"/>
      <c r="X18" s="88"/>
      <c r="Y18" s="88"/>
      <c r="Z18" s="25"/>
      <c r="AA18" s="25"/>
      <c r="AB18" s="25"/>
      <c r="AC18" s="25"/>
      <c r="AD18" s="25"/>
      <c r="AE18" s="25"/>
      <c r="AF18" s="88"/>
      <c r="AG18" s="88"/>
      <c r="AH18" s="25"/>
      <c r="AI18" s="25"/>
      <c r="AJ18" s="25"/>
      <c r="AK18" s="88"/>
      <c r="AL18" s="88"/>
      <c r="AM18" s="88"/>
      <c r="AN18" s="25"/>
      <c r="AO18" s="25"/>
      <c r="AP18" s="25"/>
      <c r="AQ18" s="25"/>
      <c r="AR18" s="25"/>
      <c r="AS18" s="25"/>
      <c r="AT18" s="25"/>
    </row>
    <row r="19" spans="1:46" ht="15.75" customHeight="1" x14ac:dyDescent="0.25">
      <c r="A19" s="88"/>
      <c r="B19" s="25"/>
      <c r="C19" s="25"/>
      <c r="D19" s="25"/>
      <c r="E19" s="25"/>
      <c r="F19" s="25"/>
      <c r="G19" s="25"/>
      <c r="H19" s="88"/>
      <c r="I19" s="88"/>
      <c r="J19" s="25"/>
      <c r="K19" s="25"/>
      <c r="L19" s="25"/>
      <c r="M19" s="25"/>
      <c r="N19" s="88"/>
      <c r="O19" s="88"/>
      <c r="P19" s="88"/>
      <c r="Q19" s="88"/>
      <c r="R19" s="25"/>
      <c r="S19" s="25"/>
      <c r="T19" s="25"/>
      <c r="U19" s="25"/>
      <c r="V19" s="25"/>
      <c r="W19" s="25"/>
      <c r="X19" s="88"/>
      <c r="Y19" s="88"/>
      <c r="Z19" s="25"/>
      <c r="AA19" s="25"/>
      <c r="AB19" s="25"/>
      <c r="AC19" s="25"/>
      <c r="AD19" s="88"/>
      <c r="AE19" s="88"/>
      <c r="AF19" s="88"/>
      <c r="AG19" s="88"/>
      <c r="AH19" s="25"/>
      <c r="AI19" s="25"/>
      <c r="AJ19" s="25"/>
      <c r="AK19" s="88"/>
      <c r="AL19" s="88"/>
      <c r="AM19" s="88"/>
      <c r="AN19" s="25"/>
      <c r="AO19" s="25"/>
      <c r="AP19" s="25"/>
      <c r="AQ19" s="25"/>
      <c r="AR19" s="25"/>
      <c r="AS19" s="25"/>
      <c r="AT19" s="25"/>
    </row>
    <row r="20" spans="1:46" ht="15.75" customHeight="1" x14ac:dyDescent="0.25">
      <c r="A20" s="10" t="s">
        <v>628</v>
      </c>
      <c r="B20" s="56"/>
      <c r="C20" s="56">
        <f>SUM(D20:G20)</f>
        <v>21435.9</v>
      </c>
      <c r="D20" s="44">
        <v>6200</v>
      </c>
      <c r="E20" s="44">
        <v>6953.5</v>
      </c>
      <c r="F20" s="56">
        <v>6312.9</v>
      </c>
      <c r="G20" s="56">
        <v>1969.5</v>
      </c>
      <c r="H20" s="10"/>
      <c r="I20" s="88" t="s">
        <v>628</v>
      </c>
      <c r="J20" s="10"/>
      <c r="K20" s="56">
        <f>SUM(L20:O20)</f>
        <v>24934.538</v>
      </c>
      <c r="L20" s="56">
        <v>7200</v>
      </c>
      <c r="M20" s="185">
        <v>8459.1</v>
      </c>
      <c r="N20" s="56">
        <v>7249.826</v>
      </c>
      <c r="O20" s="56">
        <v>2025.6120000000001</v>
      </c>
      <c r="P20" s="56"/>
      <c r="Q20" s="10" t="s">
        <v>628</v>
      </c>
      <c r="R20" s="56"/>
      <c r="S20" s="56">
        <f>SUM(T20:W20)</f>
        <v>25591.200000000001</v>
      </c>
      <c r="T20" s="56">
        <v>7625</v>
      </c>
      <c r="U20" s="185">
        <v>8560.7999999999993</v>
      </c>
      <c r="V20" s="56">
        <v>7387.5</v>
      </c>
      <c r="W20" s="56">
        <v>2017.9</v>
      </c>
      <c r="X20" s="56"/>
      <c r="Y20" s="10" t="s">
        <v>628</v>
      </c>
      <c r="Z20" s="10"/>
      <c r="AA20" s="56">
        <f>SUM(AB20:AE20)</f>
        <v>26174.577000000001</v>
      </c>
      <c r="AB20" s="56">
        <v>8100</v>
      </c>
      <c r="AC20" s="185">
        <v>8793.9</v>
      </c>
      <c r="AD20" s="42">
        <v>7281.8940000000002</v>
      </c>
      <c r="AE20" s="10">
        <v>1998.7830000000001</v>
      </c>
      <c r="AF20" s="10"/>
      <c r="AG20" s="10" t="s">
        <v>628</v>
      </c>
      <c r="AH20" s="56"/>
      <c r="AI20" s="478">
        <f>SUM(AJ20:AM20)</f>
        <v>27000.7</v>
      </c>
      <c r="AJ20" s="478">
        <f>('ISPs (RV)'!J41)</f>
        <v>8900</v>
      </c>
      <c r="AK20" s="478">
        <f>('CableSatIPTV (RV)'!M47)</f>
        <v>8922.4</v>
      </c>
      <c r="AL20" s="478">
        <f>('Total TV Universe (RV)'!O48)</f>
        <v>7275.6</v>
      </c>
      <c r="AM20" s="478">
        <f>('Radio (RV)'!M30)</f>
        <v>1902.7</v>
      </c>
      <c r="AN20" s="56"/>
      <c r="AO20" s="56"/>
      <c r="AP20" s="56"/>
      <c r="AQ20" s="56"/>
      <c r="AR20" s="56"/>
      <c r="AS20" s="56"/>
      <c r="AT20" s="56"/>
    </row>
    <row r="21" spans="1:46" ht="15.75" customHeight="1" x14ac:dyDescent="0.25">
      <c r="A21" s="10" t="s">
        <v>631</v>
      </c>
      <c r="B21" s="25">
        <f>SUM(B2:B5)</f>
        <v>50.28993417584519</v>
      </c>
      <c r="C21" s="25"/>
      <c r="D21" s="25"/>
      <c r="E21" s="25"/>
      <c r="F21" s="25"/>
      <c r="G21" s="25"/>
      <c r="H21" s="88"/>
      <c r="I21" s="88" t="s">
        <v>631</v>
      </c>
      <c r="J21" s="25">
        <f>SUM(J2:J5)</f>
        <v>65.783452655108334</v>
      </c>
      <c r="K21" s="25"/>
      <c r="L21" s="88"/>
      <c r="M21" s="88"/>
      <c r="N21" s="88"/>
      <c r="O21" s="88"/>
      <c r="P21" s="88"/>
      <c r="Q21" s="10" t="s">
        <v>631</v>
      </c>
      <c r="R21" s="25">
        <f>SUM(R2:R5)</f>
        <v>64.920363249867137</v>
      </c>
      <c r="S21" s="25"/>
      <c r="T21" s="25"/>
      <c r="U21" s="25"/>
      <c r="V21" s="25"/>
      <c r="W21" s="25"/>
      <c r="X21" s="88"/>
      <c r="Y21" s="10" t="s">
        <v>631</v>
      </c>
      <c r="Z21" s="25">
        <f>Z2+Z3+Z4+Z5</f>
        <v>67.258775566841052</v>
      </c>
      <c r="AA21" s="88"/>
      <c r="AB21" s="88"/>
      <c r="AC21" s="88"/>
      <c r="AD21" s="88"/>
      <c r="AE21" s="88"/>
      <c r="AF21" s="88"/>
      <c r="AG21" s="10" t="s">
        <v>631</v>
      </c>
      <c r="AH21" s="25"/>
      <c r="AI21" s="25"/>
      <c r="AJ21" s="25"/>
      <c r="AK21" s="88"/>
      <c r="AL21" s="88"/>
      <c r="AM21" s="88"/>
      <c r="AN21" s="25"/>
      <c r="AO21" s="25"/>
      <c r="AP21" s="25"/>
      <c r="AQ21" s="25"/>
      <c r="AR21" s="25"/>
      <c r="AS21" s="25"/>
      <c r="AT21" s="25"/>
    </row>
    <row r="22" spans="1:46" ht="15.75" customHeight="1" x14ac:dyDescent="0.25">
      <c r="A22" s="10" t="s">
        <v>42</v>
      </c>
      <c r="B22" s="25">
        <f>SUM(B2+B4+B3+B8)</f>
        <v>51.06480250421022</v>
      </c>
      <c r="C22" s="25"/>
      <c r="D22" s="25"/>
      <c r="E22" s="25"/>
      <c r="F22" s="25"/>
      <c r="G22" s="25"/>
      <c r="H22" s="88"/>
      <c r="I22" s="88" t="s">
        <v>42</v>
      </c>
      <c r="J22" s="25">
        <f>SUM(J2:J5)</f>
        <v>65.783452655108334</v>
      </c>
      <c r="K22" s="25"/>
      <c r="L22" s="88"/>
      <c r="M22" s="88"/>
      <c r="N22" s="88"/>
      <c r="O22" s="88"/>
      <c r="P22" s="88"/>
      <c r="Q22" s="10" t="s">
        <v>42</v>
      </c>
      <c r="R22" s="25">
        <f>SUM(R2+R3+R4+R5)</f>
        <v>64.920363249867137</v>
      </c>
      <c r="S22" s="25"/>
      <c r="T22" s="25"/>
      <c r="U22" s="25"/>
      <c r="V22" s="25"/>
      <c r="W22" s="25"/>
      <c r="X22" s="88"/>
      <c r="Y22" s="10" t="s">
        <v>42</v>
      </c>
      <c r="Z22" s="25">
        <f>Z2+Z3+Z4+Z5</f>
        <v>67.258775566841052</v>
      </c>
      <c r="AA22" s="88"/>
      <c r="AB22" s="88"/>
      <c r="AC22" s="88"/>
      <c r="AD22" s="88"/>
      <c r="AE22" s="88"/>
      <c r="AF22" s="88"/>
      <c r="AG22" s="10" t="s">
        <v>42</v>
      </c>
      <c r="AH22" s="25"/>
      <c r="AI22" s="222">
        <f>AI2+AI3+AI4+AI5</f>
        <v>18572.993065695999</v>
      </c>
      <c r="AJ22" s="25"/>
      <c r="AK22" s="88"/>
      <c r="AL22" s="88"/>
      <c r="AM22" s="88"/>
      <c r="AN22" s="25"/>
      <c r="AO22" s="25"/>
      <c r="AP22" s="25"/>
      <c r="AQ22" s="25"/>
      <c r="AR22" s="25"/>
      <c r="AS22" s="25"/>
      <c r="AT22" s="25"/>
    </row>
    <row r="23" spans="1:46" ht="15.75" customHeight="1" x14ac:dyDescent="0.25">
      <c r="A23" s="10" t="s">
        <v>43</v>
      </c>
      <c r="B23" s="25">
        <f>SUMSQ(B2,B4,B5,B3,B6,B7,B8,B9,B14,B15,B10,B11,B12,B16,B13)</f>
        <v>852.10400592334429</v>
      </c>
      <c r="C23" s="25"/>
      <c r="D23" s="25"/>
      <c r="E23" s="25"/>
      <c r="F23" s="25"/>
      <c r="G23" s="25"/>
      <c r="H23" s="88"/>
      <c r="I23" s="88" t="s">
        <v>43</v>
      </c>
      <c r="J23" s="25">
        <f>SUMSQ(J2,J3,J4,J5,J6,J15,J7,J8,J9,J10,J13,J14,J11,J12)</f>
        <v>1298.7401723220094</v>
      </c>
      <c r="K23" s="25"/>
      <c r="L23" s="88"/>
      <c r="M23" s="88"/>
      <c r="N23" s="88"/>
      <c r="O23" s="88"/>
      <c r="P23" s="88"/>
      <c r="Q23" s="10" t="s">
        <v>43</v>
      </c>
      <c r="R23" s="25">
        <f>SUMSQ(R2,R3,R4,R5,R6,R14,R7,R10,R8,R13,R15,R11,R12,R9)</f>
        <v>1263.7971083934165</v>
      </c>
      <c r="S23" s="25"/>
      <c r="T23" s="25"/>
      <c r="U23" s="25"/>
      <c r="V23" s="25"/>
      <c r="W23" s="25"/>
      <c r="X23" s="88"/>
      <c r="Y23" s="10" t="s">
        <v>43</v>
      </c>
      <c r="Z23" s="25">
        <f>SUMSQ(Z2,Z3,Z4,Z5,Z6,Z14,Z7,Z10,Z8,Z13,Z15,Z11,Z12,Z9)</f>
        <v>1365.8548883500121</v>
      </c>
      <c r="AA23" s="88"/>
      <c r="AB23" s="88"/>
      <c r="AC23" s="88"/>
      <c r="AD23" s="88"/>
      <c r="AE23" s="88"/>
      <c r="AF23" s="10"/>
      <c r="AG23" s="10" t="s">
        <v>43</v>
      </c>
      <c r="AH23" s="25"/>
      <c r="AI23" s="222">
        <f>SUMSQ(AI2,AI3,AI4,AI5,AI6,AI14,AI7,AI10,AI8,AI13,AI15,AI11,AI12,AI9)</f>
        <v>102112522.26232953</v>
      </c>
      <c r="AJ23" s="56"/>
      <c r="AK23" s="56"/>
      <c r="AL23" s="56"/>
      <c r="AM23" s="10"/>
      <c r="AN23" s="494"/>
      <c r="AO23" s="494"/>
      <c r="AP23" s="494"/>
      <c r="AQ23" s="494"/>
      <c r="AR23" s="494"/>
      <c r="AS23" s="494"/>
      <c r="AT23" s="494"/>
    </row>
    <row r="24" spans="1:46" ht="18" customHeight="1" x14ac:dyDescent="0.25">
      <c r="A24" s="170"/>
      <c r="B24" s="25"/>
      <c r="C24" s="25"/>
      <c r="D24" s="25"/>
      <c r="E24" s="25"/>
      <c r="F24" s="25"/>
      <c r="G24" s="25"/>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216"/>
      <c r="AH24" s="88"/>
      <c r="AI24" s="88"/>
      <c r="AJ24" s="88"/>
      <c r="AK24" s="88"/>
      <c r="AL24" s="88"/>
      <c r="AM24" s="88"/>
      <c r="AN24" s="88"/>
      <c r="AO24" s="88"/>
      <c r="AP24" s="88"/>
      <c r="AQ24" s="88"/>
      <c r="AR24" s="88"/>
      <c r="AS24" s="88"/>
      <c r="AT24" s="88"/>
    </row>
    <row r="25" spans="1:46" ht="15.75" customHeight="1" x14ac:dyDescent="0.25">
      <c r="A25" s="3" t="s">
        <v>206</v>
      </c>
      <c r="B25" s="88"/>
      <c r="C25" s="170"/>
      <c r="D25" s="170"/>
      <c r="E25" s="170"/>
      <c r="F25" s="170"/>
      <c r="G25" s="170"/>
      <c r="H25" s="88"/>
      <c r="I25" s="88"/>
      <c r="J25" s="88"/>
      <c r="K25" s="88"/>
      <c r="L25" s="88"/>
      <c r="M25" s="88"/>
      <c r="N25" s="88"/>
      <c r="O25" s="88"/>
      <c r="P25" s="88"/>
      <c r="Q25" s="498"/>
      <c r="R25" s="498"/>
      <c r="S25" s="498"/>
      <c r="T25" s="498"/>
      <c r="U25" s="498"/>
      <c r="V25" s="498"/>
      <c r="W25" s="498"/>
      <c r="X25" s="88"/>
      <c r="Y25" s="88"/>
      <c r="Z25" s="88"/>
      <c r="AA25" s="88"/>
      <c r="AB25" s="88"/>
      <c r="AC25" s="88"/>
      <c r="AD25" s="88"/>
      <c r="AE25" s="88"/>
      <c r="AF25" s="88"/>
      <c r="AG25" s="88"/>
      <c r="AH25" s="88"/>
      <c r="AI25" s="88"/>
      <c r="AJ25" s="88"/>
      <c r="AK25" s="88"/>
      <c r="AL25" s="88"/>
      <c r="AM25" s="88"/>
      <c r="AN25" s="88"/>
      <c r="AO25" s="88"/>
      <c r="AP25" s="88"/>
      <c r="AQ25" s="88"/>
      <c r="AR25" s="88"/>
      <c r="AS25" s="88"/>
      <c r="AT25" s="88"/>
    </row>
    <row r="26" spans="1:46" ht="15.75" customHeight="1" x14ac:dyDescent="0.25">
      <c r="A26" s="88"/>
      <c r="B26" s="88"/>
      <c r="C26" s="170"/>
      <c r="D26" s="170"/>
      <c r="E26" s="170"/>
      <c r="F26" s="170"/>
      <c r="G26" s="170"/>
      <c r="H26" s="88"/>
      <c r="I26" s="498"/>
      <c r="J26" s="498"/>
      <c r="K26" s="498"/>
      <c r="L26" s="498"/>
      <c r="M26" s="498"/>
      <c r="N26" s="498"/>
      <c r="O26" s="498"/>
      <c r="P26" s="88"/>
      <c r="Q26" s="88"/>
      <c r="R26" s="25"/>
      <c r="S26" s="25"/>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row>
    <row r="27" spans="1:46" ht="15.75" customHeight="1" x14ac:dyDescent="0.25">
      <c r="A27" s="88"/>
      <c r="B27" s="88"/>
      <c r="C27" s="88"/>
      <c r="D27" s="88"/>
      <c r="E27" s="88"/>
      <c r="F27" s="88"/>
      <c r="G27" s="88"/>
      <c r="H27" s="88"/>
      <c r="I27" s="88"/>
      <c r="J27" s="25"/>
      <c r="K27" s="25"/>
      <c r="L27" s="88"/>
      <c r="M27" s="88"/>
      <c r="N27" s="88"/>
      <c r="O27" s="88"/>
      <c r="P27" s="88"/>
      <c r="Q27" s="88"/>
      <c r="R27" s="25"/>
      <c r="S27" s="25"/>
      <c r="T27" s="88"/>
      <c r="U27" s="88"/>
      <c r="V27" s="88"/>
      <c r="W27" s="88"/>
      <c r="X27" s="88"/>
      <c r="Y27" s="88"/>
      <c r="Z27" s="88"/>
      <c r="AA27" s="88"/>
      <c r="AB27" s="88"/>
      <c r="AC27" s="88"/>
      <c r="AD27" s="88"/>
      <c r="AE27" s="88"/>
      <c r="AF27" s="88"/>
      <c r="AG27" s="25"/>
      <c r="AH27" s="88"/>
      <c r="AI27" s="88"/>
      <c r="AJ27" s="88"/>
      <c r="AK27" s="88"/>
      <c r="AL27" s="88"/>
      <c r="AM27" s="88"/>
      <c r="AN27" s="88"/>
      <c r="AO27" s="88"/>
      <c r="AP27" s="88"/>
      <c r="AQ27" s="88"/>
      <c r="AR27" s="88"/>
      <c r="AS27" s="88"/>
      <c r="AT27" s="88"/>
    </row>
    <row r="28" spans="1:46" ht="15.75" customHeight="1" x14ac:dyDescent="0.25">
      <c r="A28" s="88"/>
      <c r="B28" s="88"/>
      <c r="C28" s="88"/>
      <c r="D28" s="88"/>
      <c r="E28" s="88"/>
      <c r="F28" s="88"/>
      <c r="G28" s="88"/>
      <c r="H28" s="88"/>
      <c r="I28" s="88"/>
      <c r="J28" s="25"/>
      <c r="K28" s="25"/>
      <c r="L28" s="88"/>
      <c r="M28" s="88"/>
      <c r="N28" s="88"/>
      <c r="O28" s="88"/>
      <c r="P28" s="88"/>
      <c r="Q28" s="88"/>
      <c r="R28" s="25"/>
      <c r="S28" s="25"/>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row>
    <row r="29" spans="1:46" ht="15.75" customHeight="1" x14ac:dyDescent="0.25">
      <c r="A29" s="88"/>
      <c r="B29" s="88"/>
      <c r="C29" s="88"/>
      <c r="D29" s="88"/>
      <c r="E29" s="88"/>
      <c r="F29" s="88"/>
      <c r="G29" s="88"/>
      <c r="H29" s="88"/>
      <c r="I29" s="88"/>
      <c r="J29" s="25"/>
      <c r="K29" s="25"/>
      <c r="L29" s="88"/>
      <c r="M29" s="88"/>
      <c r="N29" s="88"/>
      <c r="O29" s="88"/>
      <c r="P29" s="88"/>
      <c r="Q29" s="88"/>
      <c r="R29" s="25"/>
      <c r="S29" s="25"/>
      <c r="T29" s="88"/>
      <c r="U29" s="88"/>
      <c r="V29" s="88"/>
      <c r="W29" s="88"/>
      <c r="X29" s="88"/>
      <c r="Y29" s="88"/>
      <c r="Z29" s="88"/>
      <c r="AA29" s="88"/>
      <c r="AB29" s="88"/>
      <c r="AC29" s="88"/>
      <c r="AD29" s="88"/>
      <c r="AE29" s="88"/>
      <c r="AF29" s="88"/>
      <c r="AG29" s="25"/>
      <c r="AH29" s="88"/>
      <c r="AI29" s="88"/>
      <c r="AJ29" s="88"/>
      <c r="AK29" s="88"/>
      <c r="AL29" s="88"/>
      <c r="AM29" s="88"/>
      <c r="AN29" s="88"/>
      <c r="AO29" s="88"/>
      <c r="AP29" s="88"/>
      <c r="AQ29" s="88"/>
      <c r="AR29" s="88"/>
      <c r="AS29" s="88"/>
      <c r="AT29" s="88"/>
    </row>
    <row r="30" spans="1:46" ht="15.75" customHeight="1" x14ac:dyDescent="0.25">
      <c r="A30" s="88"/>
      <c r="B30" s="88"/>
      <c r="C30" s="88"/>
      <c r="D30" s="88"/>
      <c r="E30" s="88"/>
      <c r="F30" s="88"/>
      <c r="G30" s="88"/>
      <c r="H30" s="88"/>
      <c r="I30" s="88"/>
      <c r="J30" s="25"/>
      <c r="K30" s="25"/>
      <c r="L30" s="88"/>
      <c r="M30" s="88"/>
      <c r="N30" s="88"/>
      <c r="O30" s="88"/>
      <c r="P30" s="88"/>
      <c r="Q30" s="88"/>
      <c r="R30" s="25"/>
      <c r="S30" s="25"/>
      <c r="T30" s="88"/>
      <c r="U30" s="88"/>
      <c r="V30" s="88"/>
      <c r="W30" s="88"/>
      <c r="X30" s="88"/>
      <c r="Y30" s="88"/>
      <c r="Z30" s="88"/>
      <c r="AA30" s="88"/>
      <c r="AB30" s="88"/>
      <c r="AC30" s="88"/>
      <c r="AD30" s="88"/>
      <c r="AE30" s="88"/>
      <c r="AF30" s="88"/>
      <c r="AG30" s="25"/>
      <c r="AH30" s="88"/>
      <c r="AI30" s="88"/>
      <c r="AJ30" s="88"/>
      <c r="AK30" s="88"/>
      <c r="AL30" s="88"/>
      <c r="AM30" s="88"/>
      <c r="AN30" s="88"/>
      <c r="AO30" s="88"/>
      <c r="AP30" s="88"/>
      <c r="AQ30" s="88"/>
      <c r="AR30" s="88"/>
      <c r="AS30" s="88"/>
      <c r="AT30" s="88"/>
    </row>
    <row r="31" spans="1:46" ht="15.75" customHeight="1" x14ac:dyDescent="0.25">
      <c r="A31" s="88"/>
      <c r="B31" s="88"/>
      <c r="C31" s="88"/>
      <c r="D31" s="88"/>
      <c r="E31" s="88"/>
      <c r="F31" s="88"/>
      <c r="G31" s="88"/>
      <c r="H31" s="88"/>
      <c r="I31" s="88"/>
      <c r="J31" s="25"/>
      <c r="K31" s="25"/>
      <c r="L31" s="88"/>
      <c r="M31" s="88"/>
      <c r="N31" s="88"/>
      <c r="O31" s="88"/>
      <c r="P31" s="88"/>
      <c r="Q31" s="88"/>
      <c r="R31" s="25"/>
      <c r="S31" s="25"/>
      <c r="T31" s="25"/>
      <c r="U31" s="25"/>
      <c r="V31" s="88"/>
      <c r="W31" s="88"/>
      <c r="X31" s="88"/>
      <c r="Y31" s="88"/>
      <c r="Z31" s="88"/>
      <c r="AA31" s="88"/>
      <c r="AB31" s="88"/>
      <c r="AC31" s="88"/>
      <c r="AD31" s="88"/>
      <c r="AE31" s="88"/>
      <c r="AF31" s="88"/>
      <c r="AG31" s="25"/>
      <c r="AH31" s="88"/>
      <c r="AI31" s="88"/>
      <c r="AJ31" s="88"/>
      <c r="AK31" s="88"/>
      <c r="AL31" s="88"/>
      <c r="AM31" s="88"/>
      <c r="AN31" s="88"/>
      <c r="AO31" s="88"/>
      <c r="AP31" s="88"/>
      <c r="AQ31" s="88"/>
      <c r="AR31" s="88"/>
      <c r="AS31" s="88"/>
      <c r="AT31" s="88"/>
    </row>
    <row r="32" spans="1:46" ht="15.75" customHeight="1" x14ac:dyDescent="0.25">
      <c r="A32" s="88"/>
      <c r="B32" s="88"/>
      <c r="C32" s="88"/>
      <c r="D32" s="88"/>
      <c r="E32" s="88"/>
      <c r="F32" s="88"/>
      <c r="G32" s="88"/>
      <c r="H32" s="88"/>
      <c r="I32" s="88"/>
      <c r="J32" s="25"/>
      <c r="K32" s="25"/>
      <c r="L32" s="25"/>
      <c r="M32" s="25"/>
      <c r="N32" s="88"/>
      <c r="O32" s="88"/>
      <c r="P32" s="88"/>
      <c r="Q32" s="88"/>
      <c r="R32" s="25"/>
      <c r="S32" s="25"/>
      <c r="T32" s="88"/>
      <c r="U32" s="88"/>
      <c r="V32" s="88"/>
      <c r="W32" s="88"/>
      <c r="X32" s="88"/>
      <c r="Y32" s="88"/>
      <c r="Z32" s="88"/>
      <c r="AA32" s="88"/>
      <c r="AB32" s="88"/>
      <c r="AC32" s="88"/>
      <c r="AD32" s="88"/>
      <c r="AE32" s="88"/>
      <c r="AF32" s="88"/>
      <c r="AG32" s="25"/>
      <c r="AH32" s="88"/>
      <c r="AI32" s="88"/>
      <c r="AJ32" s="88"/>
      <c r="AK32" s="88"/>
      <c r="AL32" s="88"/>
      <c r="AM32" s="88"/>
      <c r="AN32" s="88"/>
      <c r="AO32" s="88"/>
      <c r="AP32" s="88"/>
      <c r="AQ32" s="88"/>
      <c r="AR32" s="88"/>
      <c r="AS32" s="88"/>
      <c r="AT32" s="88"/>
    </row>
    <row r="33" spans="1:46" ht="15.75" customHeight="1" x14ac:dyDescent="0.25">
      <c r="A33" s="88"/>
      <c r="B33" s="88"/>
      <c r="C33" s="88"/>
      <c r="D33" s="88"/>
      <c r="E33" s="88"/>
      <c r="F33" s="88"/>
      <c r="G33" s="88"/>
      <c r="H33" s="88"/>
      <c r="I33" s="88"/>
      <c r="J33" s="25"/>
      <c r="K33" s="25"/>
      <c r="L33" s="88"/>
      <c r="M33" s="88"/>
      <c r="N33" s="88"/>
      <c r="O33" s="88"/>
      <c r="P33" s="88"/>
      <c r="Q33" s="88"/>
      <c r="R33" s="25"/>
      <c r="S33" s="25"/>
      <c r="T33" s="25"/>
      <c r="U33" s="25"/>
      <c r="V33" s="88"/>
      <c r="W33" s="88"/>
      <c r="X33" s="88"/>
      <c r="Y33" s="88"/>
      <c r="Z33" s="88"/>
      <c r="AA33" s="88"/>
      <c r="AB33" s="88"/>
      <c r="AC33" s="88"/>
      <c r="AD33" s="88"/>
      <c r="AE33" s="88"/>
      <c r="AF33" s="88"/>
      <c r="AG33" s="25"/>
      <c r="AH33" s="88"/>
      <c r="AI33" s="88"/>
      <c r="AJ33" s="88"/>
      <c r="AK33" s="88"/>
      <c r="AL33" s="88"/>
      <c r="AM33" s="88"/>
      <c r="AN33" s="88"/>
      <c r="AO33" s="88"/>
      <c r="AP33" s="88"/>
      <c r="AQ33" s="88"/>
      <c r="AR33" s="88"/>
      <c r="AS33" s="88"/>
      <c r="AT33" s="88"/>
    </row>
    <row r="34" spans="1:46" ht="15.75" customHeight="1" x14ac:dyDescent="0.25">
      <c r="A34" s="88"/>
      <c r="B34" s="88"/>
      <c r="C34" s="88"/>
      <c r="D34" s="88"/>
      <c r="E34" s="88"/>
      <c r="F34" s="88"/>
      <c r="G34" s="88"/>
      <c r="H34" s="88"/>
      <c r="I34" s="88"/>
      <c r="J34" s="25"/>
      <c r="K34" s="25"/>
      <c r="L34" s="25"/>
      <c r="M34" s="25"/>
      <c r="N34" s="88"/>
      <c r="O34" s="88"/>
      <c r="P34" s="88"/>
      <c r="Q34" s="88"/>
      <c r="R34" s="25"/>
      <c r="S34" s="25"/>
      <c r="T34" s="88"/>
      <c r="U34" s="88"/>
      <c r="V34" s="88"/>
      <c r="W34" s="88"/>
      <c r="X34" s="88"/>
      <c r="Y34" s="88"/>
      <c r="Z34" s="88"/>
      <c r="AA34" s="88"/>
      <c r="AB34" s="88"/>
      <c r="AC34" s="88"/>
      <c r="AD34" s="88"/>
      <c r="AE34" s="88"/>
      <c r="AF34" s="88"/>
      <c r="AG34" s="25"/>
      <c r="AH34" s="88"/>
      <c r="AI34" s="88"/>
      <c r="AJ34" s="88"/>
      <c r="AK34" s="88"/>
      <c r="AL34" s="88"/>
      <c r="AM34" s="88"/>
      <c r="AN34" s="88"/>
      <c r="AO34" s="88"/>
      <c r="AP34" s="88"/>
      <c r="AQ34" s="88"/>
      <c r="AR34" s="88"/>
      <c r="AS34" s="88"/>
      <c r="AT34" s="88"/>
    </row>
    <row r="35" spans="1:46" ht="15.75" customHeight="1" x14ac:dyDescent="0.25">
      <c r="A35" s="88"/>
      <c r="B35" s="88"/>
      <c r="C35" s="88"/>
      <c r="D35" s="88"/>
      <c r="E35" s="88"/>
      <c r="F35" s="88"/>
      <c r="G35" s="88"/>
      <c r="H35" s="88"/>
      <c r="I35" s="88"/>
      <c r="J35" s="25"/>
      <c r="K35" s="25"/>
      <c r="L35" s="88"/>
      <c r="M35" s="88"/>
      <c r="N35" s="88"/>
      <c r="O35" s="88"/>
      <c r="P35" s="88"/>
      <c r="Q35" s="88"/>
      <c r="R35" s="25"/>
      <c r="S35" s="25"/>
      <c r="T35" s="25"/>
      <c r="U35" s="25"/>
      <c r="V35" s="88"/>
      <c r="W35" s="88"/>
      <c r="X35" s="88"/>
      <c r="Y35" s="88"/>
      <c r="Z35" s="88"/>
      <c r="AA35" s="88"/>
      <c r="AB35" s="88"/>
      <c r="AC35" s="88"/>
      <c r="AD35" s="88"/>
      <c r="AE35" s="88"/>
      <c r="AF35" s="88"/>
      <c r="AG35" s="25"/>
      <c r="AH35" s="88"/>
      <c r="AI35" s="88"/>
      <c r="AJ35" s="88"/>
      <c r="AK35" s="88"/>
      <c r="AL35" s="88"/>
      <c r="AM35" s="88"/>
      <c r="AN35" s="88"/>
      <c r="AO35" s="88"/>
      <c r="AP35" s="88"/>
      <c r="AQ35" s="88"/>
      <c r="AR35" s="88"/>
      <c r="AS35" s="88"/>
      <c r="AT35" s="88"/>
    </row>
    <row r="36" spans="1:46" ht="15.75" customHeight="1" x14ac:dyDescent="0.25">
      <c r="A36" s="88"/>
      <c r="B36" s="88"/>
      <c r="C36" s="88"/>
      <c r="D36" s="88"/>
      <c r="E36" s="88"/>
      <c r="F36" s="88"/>
      <c r="G36" s="88"/>
      <c r="H36" s="88"/>
      <c r="I36" s="88"/>
      <c r="J36" s="25"/>
      <c r="K36" s="25"/>
      <c r="L36" s="25"/>
      <c r="M36" s="25"/>
      <c r="N36" s="88"/>
      <c r="O36" s="88"/>
      <c r="P36" s="88"/>
      <c r="Q36" s="88"/>
      <c r="R36" s="25"/>
      <c r="S36" s="25"/>
      <c r="T36" s="88"/>
      <c r="U36" s="88"/>
      <c r="V36" s="88"/>
      <c r="W36" s="88"/>
      <c r="X36" s="88"/>
      <c r="Y36" s="88"/>
      <c r="Z36" s="88"/>
      <c r="AA36" s="88"/>
      <c r="AB36" s="88"/>
      <c r="AC36" s="88"/>
      <c r="AD36" s="88"/>
      <c r="AE36" s="88"/>
      <c r="AF36" s="88"/>
      <c r="AG36" s="25"/>
      <c r="AH36" s="88"/>
      <c r="AI36" s="88"/>
      <c r="AJ36" s="88"/>
      <c r="AK36" s="88"/>
      <c r="AL36" s="88"/>
      <c r="AM36" s="88"/>
      <c r="AN36" s="88"/>
      <c r="AO36" s="88"/>
      <c r="AP36" s="88"/>
      <c r="AQ36" s="88"/>
      <c r="AR36" s="88"/>
      <c r="AS36" s="88"/>
      <c r="AT36" s="88"/>
    </row>
    <row r="37" spans="1:46" ht="15.75" customHeight="1" x14ac:dyDescent="0.25">
      <c r="A37" s="88"/>
      <c r="B37" s="88"/>
      <c r="C37" s="88"/>
      <c r="D37" s="88"/>
      <c r="E37" s="88"/>
      <c r="F37" s="88"/>
      <c r="G37" s="88"/>
      <c r="H37" s="88"/>
      <c r="I37" s="88"/>
      <c r="J37" s="25"/>
      <c r="K37" s="25"/>
      <c r="L37" s="88"/>
      <c r="M37" s="88"/>
      <c r="N37" s="88"/>
      <c r="O37" s="88"/>
      <c r="P37" s="88"/>
      <c r="Q37" s="88"/>
      <c r="R37" s="25"/>
      <c r="S37" s="25"/>
      <c r="T37" s="25"/>
      <c r="U37" s="25"/>
      <c r="V37" s="88"/>
      <c r="W37" s="88"/>
      <c r="X37" s="88"/>
      <c r="Y37" s="88"/>
      <c r="Z37" s="88"/>
      <c r="AA37" s="88"/>
      <c r="AB37" s="88"/>
      <c r="AC37" s="88"/>
      <c r="AD37" s="88"/>
      <c r="AE37" s="88"/>
      <c r="AF37" s="88"/>
      <c r="AG37" s="25"/>
      <c r="AH37" s="88"/>
      <c r="AI37" s="88"/>
      <c r="AJ37" s="88"/>
      <c r="AK37" s="88"/>
      <c r="AL37" s="88"/>
      <c r="AM37" s="88"/>
      <c r="AN37" s="88"/>
      <c r="AO37" s="88"/>
      <c r="AP37" s="88"/>
      <c r="AQ37" s="88"/>
      <c r="AR37" s="88"/>
      <c r="AS37" s="88"/>
      <c r="AT37" s="88"/>
    </row>
    <row r="38" spans="1:46" ht="15.75" customHeight="1" x14ac:dyDescent="0.25">
      <c r="A38" s="88"/>
      <c r="B38" s="88"/>
      <c r="C38" s="88"/>
      <c r="D38" s="88"/>
      <c r="E38" s="88"/>
      <c r="F38" s="88"/>
      <c r="G38" s="88"/>
      <c r="H38" s="88"/>
      <c r="I38" s="88"/>
      <c r="J38" s="25"/>
      <c r="K38" s="25"/>
      <c r="L38" s="25"/>
      <c r="M38" s="25"/>
      <c r="N38" s="88"/>
      <c r="O38" s="88"/>
      <c r="P38" s="88"/>
      <c r="Q38" s="399"/>
      <c r="R38" s="25"/>
      <c r="S38" s="25"/>
      <c r="T38" s="88"/>
      <c r="U38" s="88"/>
      <c r="V38" s="88"/>
      <c r="W38" s="88"/>
      <c r="X38" s="88"/>
      <c r="Y38" s="88"/>
      <c r="Z38" s="88"/>
      <c r="AA38" s="88"/>
      <c r="AB38" s="88"/>
      <c r="AC38" s="88"/>
      <c r="AD38" s="88"/>
      <c r="AE38" s="88"/>
      <c r="AF38" s="88"/>
      <c r="AG38" s="25"/>
      <c r="AH38" s="88"/>
      <c r="AI38" s="88"/>
      <c r="AJ38" s="88"/>
      <c r="AK38" s="88"/>
      <c r="AL38" s="88"/>
      <c r="AM38" s="88"/>
      <c r="AN38" s="88"/>
      <c r="AO38" s="88"/>
      <c r="AP38" s="88"/>
      <c r="AQ38" s="88"/>
      <c r="AR38" s="88"/>
      <c r="AS38" s="88"/>
      <c r="AT38" s="88"/>
    </row>
    <row r="39" spans="1:46" ht="15.75" customHeight="1" x14ac:dyDescent="0.25">
      <c r="A39" s="88"/>
      <c r="B39" s="88"/>
      <c r="C39" s="88"/>
      <c r="D39" s="88"/>
      <c r="E39" s="88"/>
      <c r="F39" s="88"/>
      <c r="G39" s="88"/>
      <c r="H39" s="88"/>
      <c r="I39" s="399"/>
      <c r="J39" s="25"/>
      <c r="K39" s="25"/>
      <c r="L39" s="399"/>
      <c r="M39" s="399"/>
      <c r="N39" s="88"/>
      <c r="O39" s="88"/>
      <c r="P39" s="88"/>
      <c r="Q39" s="88"/>
      <c r="R39" s="25"/>
      <c r="S39" s="25"/>
      <c r="T39" s="88"/>
      <c r="U39" s="88"/>
      <c r="V39" s="88"/>
      <c r="W39" s="88"/>
      <c r="X39" s="88"/>
      <c r="Y39" s="88"/>
      <c r="Z39" s="88"/>
      <c r="AA39" s="88"/>
      <c r="AB39" s="88"/>
      <c r="AC39" s="88"/>
      <c r="AD39" s="88"/>
      <c r="AE39" s="88"/>
      <c r="AF39" s="88"/>
      <c r="AG39" s="25"/>
      <c r="AH39" s="88"/>
      <c r="AI39" s="88"/>
      <c r="AJ39" s="88"/>
      <c r="AK39" s="88"/>
      <c r="AL39" s="88"/>
      <c r="AM39" s="88"/>
      <c r="AN39" s="88"/>
      <c r="AO39" s="88"/>
      <c r="AP39" s="88"/>
      <c r="AQ39" s="88"/>
      <c r="AR39" s="88"/>
      <c r="AS39" s="88"/>
      <c r="AT39" s="88"/>
    </row>
    <row r="40" spans="1:46" ht="15.75" customHeight="1" x14ac:dyDescent="0.25">
      <c r="A40" s="88"/>
      <c r="B40" s="88"/>
      <c r="C40" s="88"/>
      <c r="D40" s="88"/>
      <c r="E40" s="88"/>
      <c r="F40" s="88"/>
      <c r="G40" s="88"/>
      <c r="H40" s="88"/>
      <c r="I40" s="88"/>
      <c r="J40" s="25"/>
      <c r="K40" s="25"/>
      <c r="L40" s="88"/>
      <c r="M40" s="88"/>
      <c r="N40" s="88"/>
      <c r="O40" s="88"/>
      <c r="P40" s="88"/>
      <c r="Q40" s="88"/>
      <c r="R40" s="25"/>
      <c r="S40" s="25"/>
      <c r="T40" s="25"/>
      <c r="U40" s="25"/>
      <c r="V40" s="88"/>
      <c r="W40" s="88"/>
      <c r="X40" s="88"/>
      <c r="Y40" s="88"/>
      <c r="Z40" s="88"/>
      <c r="AA40" s="88"/>
      <c r="AB40" s="88"/>
      <c r="AC40" s="88"/>
      <c r="AD40" s="88"/>
      <c r="AE40" s="88"/>
      <c r="AF40" s="88"/>
      <c r="AG40" s="25"/>
      <c r="AH40" s="88"/>
      <c r="AI40" s="88"/>
      <c r="AJ40" s="88"/>
      <c r="AK40" s="88"/>
      <c r="AL40" s="88"/>
      <c r="AM40" s="88"/>
      <c r="AN40" s="88"/>
      <c r="AO40" s="88"/>
      <c r="AP40" s="88"/>
      <c r="AQ40" s="88"/>
      <c r="AR40" s="88"/>
      <c r="AS40" s="88"/>
      <c r="AT40" s="88"/>
    </row>
    <row r="41" spans="1:46" ht="15.75" customHeight="1" x14ac:dyDescent="0.25">
      <c r="A41" s="88"/>
      <c r="B41" s="88"/>
      <c r="C41" s="88"/>
      <c r="D41" s="88"/>
      <c r="E41" s="88"/>
      <c r="F41" s="88"/>
      <c r="G41" s="88"/>
      <c r="H41" s="88"/>
      <c r="I41" s="88"/>
      <c r="J41" s="25"/>
      <c r="K41" s="25"/>
      <c r="L41" s="25"/>
      <c r="M41" s="25"/>
      <c r="N41" s="88"/>
      <c r="O41" s="88"/>
      <c r="P41" s="88"/>
      <c r="Q41" s="88"/>
      <c r="R41" s="25"/>
      <c r="S41" s="25"/>
      <c r="T41" s="25"/>
      <c r="U41" s="25"/>
      <c r="V41" s="88"/>
      <c r="W41" s="88"/>
      <c r="X41" s="88"/>
      <c r="Y41" s="88"/>
      <c r="Z41" s="88"/>
      <c r="AA41" s="88"/>
      <c r="AB41" s="88"/>
      <c r="AC41" s="88"/>
      <c r="AD41" s="88"/>
      <c r="AE41" s="88"/>
      <c r="AF41" s="88"/>
      <c r="AG41" s="25"/>
      <c r="AH41" s="88"/>
      <c r="AI41" s="88"/>
      <c r="AJ41" s="88"/>
      <c r="AK41" s="88"/>
      <c r="AL41" s="88"/>
      <c r="AM41" s="88"/>
      <c r="AN41" s="88"/>
      <c r="AO41" s="88"/>
      <c r="AP41" s="88"/>
      <c r="AQ41" s="88"/>
      <c r="AR41" s="88"/>
      <c r="AS41" s="88"/>
      <c r="AT41" s="88"/>
    </row>
    <row r="42" spans="1:46" ht="15.75" customHeight="1" x14ac:dyDescent="0.25">
      <c r="A42" s="88"/>
      <c r="B42" s="88"/>
      <c r="C42" s="88"/>
      <c r="D42" s="88"/>
      <c r="E42" s="88"/>
      <c r="F42" s="88"/>
      <c r="G42" s="88"/>
      <c r="H42" s="88"/>
      <c r="I42" s="88"/>
      <c r="J42" s="25"/>
      <c r="K42" s="25"/>
      <c r="L42" s="25"/>
      <c r="M42" s="25"/>
      <c r="N42" s="88"/>
      <c r="O42" s="88"/>
      <c r="P42" s="88"/>
      <c r="Q42" s="88"/>
      <c r="R42" s="25"/>
      <c r="S42" s="25"/>
      <c r="T42" s="25"/>
      <c r="U42" s="25"/>
      <c r="V42" s="88"/>
      <c r="W42" s="88"/>
      <c r="X42" s="88"/>
      <c r="Y42" s="88"/>
      <c r="Z42" s="88"/>
      <c r="AA42" s="88"/>
      <c r="AB42" s="88"/>
      <c r="AC42" s="88"/>
      <c r="AD42" s="88"/>
      <c r="AE42" s="88"/>
      <c r="AF42" s="88"/>
      <c r="AG42" s="25"/>
      <c r="AH42" s="88"/>
      <c r="AI42" s="88"/>
      <c r="AJ42" s="88"/>
      <c r="AK42" s="88"/>
      <c r="AL42" s="88"/>
      <c r="AM42" s="88"/>
      <c r="AN42" s="88"/>
      <c r="AO42" s="88"/>
      <c r="AP42" s="88"/>
      <c r="AQ42" s="88"/>
      <c r="AR42" s="88"/>
      <c r="AS42" s="88"/>
      <c r="AT42" s="88"/>
    </row>
    <row r="43" spans="1:46" ht="15.75" customHeight="1" x14ac:dyDescent="0.25">
      <c r="A43" s="88"/>
      <c r="B43" s="88"/>
      <c r="C43" s="88"/>
      <c r="D43" s="88"/>
      <c r="E43" s="88"/>
      <c r="F43" s="88"/>
      <c r="G43" s="88"/>
      <c r="H43" s="88"/>
      <c r="I43" s="88"/>
      <c r="J43" s="25"/>
      <c r="K43" s="25"/>
      <c r="L43" s="25"/>
      <c r="M43" s="25"/>
      <c r="N43" s="88"/>
      <c r="O43" s="88"/>
      <c r="P43" s="88"/>
      <c r="Q43" s="88"/>
      <c r="R43" s="25"/>
      <c r="S43" s="25"/>
      <c r="T43" s="25"/>
      <c r="U43" s="25"/>
      <c r="V43" s="88"/>
      <c r="W43" s="88"/>
      <c r="X43" s="88"/>
      <c r="Y43" s="88"/>
      <c r="Z43" s="88"/>
      <c r="AA43" s="88"/>
      <c r="AB43" s="88"/>
      <c r="AC43" s="88"/>
      <c r="AD43" s="88"/>
      <c r="AE43" s="88"/>
      <c r="AF43" s="88"/>
      <c r="AG43" s="56"/>
      <c r="AH43" s="88"/>
      <c r="AI43" s="88"/>
      <c r="AJ43" s="88"/>
      <c r="AK43" s="88"/>
      <c r="AL43" s="88"/>
      <c r="AM43" s="88"/>
      <c r="AN43" s="88"/>
      <c r="AO43" s="88"/>
      <c r="AP43" s="88"/>
      <c r="AQ43" s="88"/>
      <c r="AR43" s="88"/>
      <c r="AS43" s="88"/>
      <c r="AT43" s="88"/>
    </row>
    <row r="44" spans="1:46" ht="15.75" customHeight="1" x14ac:dyDescent="0.25">
      <c r="A44" s="88"/>
      <c r="B44" s="88"/>
      <c r="C44" s="88"/>
      <c r="D44" s="88"/>
      <c r="E44" s="88"/>
      <c r="F44" s="88"/>
      <c r="G44" s="88"/>
      <c r="H44" s="88"/>
      <c r="I44" s="88"/>
      <c r="J44" s="25"/>
      <c r="K44" s="25"/>
      <c r="L44" s="25"/>
      <c r="M44" s="25"/>
      <c r="N44" s="88"/>
      <c r="O44" s="88"/>
      <c r="P44" s="88"/>
      <c r="Q44" s="10"/>
      <c r="R44" s="10"/>
      <c r="S44" s="25"/>
      <c r="T44" s="88"/>
      <c r="U44" s="88"/>
      <c r="V44" s="88"/>
      <c r="W44" s="88"/>
      <c r="X44" s="88"/>
      <c r="Y44" s="88"/>
      <c r="Z44" s="88"/>
      <c r="AA44" s="88"/>
      <c r="AB44" s="88"/>
      <c r="AC44" s="88"/>
      <c r="AD44" s="88"/>
      <c r="AE44" s="88"/>
      <c r="AF44" s="88"/>
      <c r="AG44" s="25"/>
      <c r="AH44" s="88"/>
      <c r="AI44" s="88"/>
      <c r="AJ44" s="88"/>
      <c r="AK44" s="88"/>
      <c r="AL44" s="88"/>
      <c r="AM44" s="88"/>
      <c r="AN44" s="88"/>
      <c r="AO44" s="88"/>
      <c r="AP44" s="88"/>
      <c r="AQ44" s="88"/>
      <c r="AR44" s="88"/>
      <c r="AS44" s="88"/>
      <c r="AT44" s="88"/>
    </row>
    <row r="45" spans="1:46" ht="15.75" customHeight="1" x14ac:dyDescent="0.25">
      <c r="A45" s="88"/>
      <c r="B45" s="88"/>
      <c r="C45" s="88"/>
      <c r="D45" s="88"/>
      <c r="E45" s="88"/>
      <c r="F45" s="88"/>
      <c r="G45" s="88"/>
      <c r="H45" s="88"/>
      <c r="I45" s="10"/>
      <c r="J45" s="10"/>
      <c r="K45" s="25"/>
      <c r="L45" s="515"/>
      <c r="M45" s="515"/>
      <c r="N45" s="516"/>
      <c r="O45" s="56"/>
      <c r="P45" s="88"/>
      <c r="Q45" s="88"/>
      <c r="R45" s="88"/>
      <c r="S45" s="88"/>
      <c r="T45" s="88"/>
      <c r="U45" s="88"/>
      <c r="V45" s="88"/>
      <c r="W45" s="88"/>
      <c r="X45" s="88"/>
      <c r="Y45" s="88"/>
      <c r="Z45" s="88"/>
      <c r="AA45" s="88"/>
      <c r="AB45" s="88"/>
      <c r="AC45" s="88"/>
      <c r="AD45" s="88"/>
      <c r="AE45" s="88"/>
      <c r="AF45" s="88"/>
      <c r="AG45" s="25"/>
      <c r="AH45" s="88"/>
      <c r="AI45" s="88"/>
      <c r="AJ45" s="88"/>
      <c r="AK45" s="88"/>
      <c r="AL45" s="88"/>
      <c r="AM45" s="88"/>
      <c r="AN45" s="88"/>
      <c r="AO45" s="88"/>
      <c r="AP45" s="88"/>
      <c r="AQ45" s="88"/>
      <c r="AR45" s="88"/>
      <c r="AS45" s="88"/>
      <c r="AT45" s="88"/>
    </row>
    <row r="46" spans="1:46" ht="15.75" customHeight="1" x14ac:dyDescent="0.25">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10"/>
      <c r="AH46" s="88"/>
      <c r="AI46" s="88"/>
      <c r="AJ46" s="88"/>
      <c r="AK46" s="88"/>
      <c r="AL46" s="88"/>
      <c r="AM46" s="88"/>
      <c r="AN46" s="88"/>
      <c r="AO46" s="88"/>
      <c r="AP46" s="88"/>
      <c r="AQ46" s="88"/>
      <c r="AR46" s="88"/>
      <c r="AS46" s="88"/>
      <c r="AT46" s="88"/>
    </row>
  </sheetData>
  <mergeCells count="1">
    <mergeCell ref="AO4:AS14"/>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98"/>
  <sheetViews>
    <sheetView topLeftCell="G4" zoomScaleNormal="100" workbookViewId="0">
      <selection activeCell="S22" sqref="S22"/>
    </sheetView>
  </sheetViews>
  <sheetFormatPr defaultRowHeight="12.75" x14ac:dyDescent="0.2"/>
  <cols>
    <col min="1" max="1" width="22.625" style="655" customWidth="1"/>
    <col min="2" max="2" width="12" style="655" customWidth="1"/>
    <col min="3" max="3" width="10" style="655" customWidth="1"/>
    <col min="4" max="4" width="12.25" style="655" customWidth="1"/>
    <col min="5" max="5" width="9" style="655" customWidth="1"/>
    <col min="6" max="6" width="12" style="655" customWidth="1"/>
    <col min="7" max="7" width="10.625" style="655" customWidth="1"/>
    <col min="8" max="8" width="10.125" style="655" customWidth="1"/>
    <col min="9" max="9" width="7.875" style="655" customWidth="1"/>
    <col min="10" max="10" width="8.875" style="655" customWidth="1"/>
    <col min="11" max="11" width="9.875" style="655" customWidth="1"/>
    <col min="12" max="12" width="10.375" style="655" customWidth="1"/>
    <col min="13" max="13" width="20.125" style="656" customWidth="1"/>
    <col min="14" max="14" width="12" style="657" customWidth="1"/>
    <col min="15" max="15" width="7.125" style="656" customWidth="1"/>
    <col min="16" max="25" width="10.75" style="656" customWidth="1"/>
    <col min="26" max="256" width="11" style="655" customWidth="1"/>
    <col min="257" max="16384" width="9" style="655"/>
  </cols>
  <sheetData>
    <row r="1" spans="1:53" x14ac:dyDescent="0.2">
      <c r="A1" s="685" t="s">
        <v>721</v>
      </c>
      <c r="B1" s="684"/>
      <c r="C1" s="684"/>
      <c r="D1" s="684"/>
      <c r="E1" s="684"/>
      <c r="F1" s="684"/>
      <c r="G1" s="684"/>
      <c r="H1" s="684"/>
      <c r="I1" s="684"/>
      <c r="J1" s="684"/>
      <c r="K1" s="684"/>
      <c r="L1" s="684"/>
      <c r="M1" s="683"/>
    </row>
    <row r="2" spans="1:53" s="691" customFormat="1" ht="27" customHeight="1" x14ac:dyDescent="0.2">
      <c r="A2" s="682">
        <v>2013</v>
      </c>
      <c r="B2" s="680" t="s">
        <v>740</v>
      </c>
      <c r="C2" s="680" t="s">
        <v>739</v>
      </c>
      <c r="D2" s="680" t="s">
        <v>720</v>
      </c>
      <c r="E2" s="680" t="s">
        <v>719</v>
      </c>
      <c r="F2" s="680" t="s">
        <v>718</v>
      </c>
      <c r="G2" s="680" t="s">
        <v>717</v>
      </c>
      <c r="H2" s="680" t="s">
        <v>716</v>
      </c>
      <c r="I2" s="680" t="s">
        <v>715</v>
      </c>
      <c r="J2" s="680" t="s">
        <v>714</v>
      </c>
      <c r="K2" s="680" t="s">
        <v>738</v>
      </c>
      <c r="L2" s="680" t="s">
        <v>713</v>
      </c>
      <c r="M2" s="680" t="s">
        <v>712</v>
      </c>
      <c r="N2" s="713"/>
      <c r="O2" s="712"/>
      <c r="P2" s="712"/>
      <c r="Q2" s="712"/>
      <c r="R2" s="712"/>
      <c r="S2" s="712"/>
      <c r="T2" s="712"/>
      <c r="U2" s="712"/>
      <c r="V2" s="712"/>
      <c r="W2" s="712"/>
      <c r="X2" s="712"/>
      <c r="Y2" s="712"/>
    </row>
    <row r="3" spans="1:53" x14ac:dyDescent="0.2">
      <c r="A3" s="678" t="s">
        <v>248</v>
      </c>
      <c r="B3" s="675">
        <v>20333</v>
      </c>
      <c r="C3" s="675">
        <v>69899</v>
      </c>
      <c r="D3" s="675">
        <v>8466.7999999999993</v>
      </c>
      <c r="E3" s="675">
        <v>29840</v>
      </c>
      <c r="F3" s="675"/>
      <c r="G3" s="675"/>
      <c r="H3" s="675"/>
      <c r="I3" s="675"/>
      <c r="J3" s="675"/>
      <c r="K3" s="675"/>
      <c r="L3" s="675">
        <f>SUM(B3:K3)</f>
        <v>128538.8</v>
      </c>
      <c r="M3" s="675">
        <f>L3/L29*100</f>
        <v>23.552898652369329</v>
      </c>
      <c r="N3" s="710">
        <f>SUMSQ(M3)</f>
        <v>554.73903492878094</v>
      </c>
    </row>
    <row r="4" spans="1:53" x14ac:dyDescent="0.2">
      <c r="A4" s="674" t="s">
        <v>705</v>
      </c>
      <c r="B4" s="662">
        <v>17328</v>
      </c>
      <c r="C4" s="662">
        <v>69033</v>
      </c>
      <c r="D4" s="662">
        <v>4656.8999999999996</v>
      </c>
      <c r="E4" s="662">
        <v>4953.6000000000004</v>
      </c>
      <c r="F4" s="662"/>
      <c r="G4" s="662"/>
      <c r="H4" s="662"/>
      <c r="I4" s="662"/>
      <c r="J4" s="662"/>
      <c r="K4" s="662"/>
      <c r="L4" s="662">
        <v>86361</v>
      </c>
      <c r="M4" s="662">
        <v>15.824419401124542</v>
      </c>
      <c r="N4" s="710">
        <f>SUMSQ(M4)</f>
        <v>250.41224938268681</v>
      </c>
    </row>
    <row r="5" spans="1:53" s="690" customFormat="1" x14ac:dyDescent="0.2">
      <c r="A5" s="678" t="s">
        <v>711</v>
      </c>
      <c r="B5" s="675">
        <v>3671</v>
      </c>
      <c r="C5" s="675"/>
      <c r="D5" s="675">
        <v>11321</v>
      </c>
      <c r="E5" s="675">
        <v>20535</v>
      </c>
      <c r="F5" s="675">
        <v>9201</v>
      </c>
      <c r="G5" s="675">
        <v>8542</v>
      </c>
      <c r="H5" s="675"/>
      <c r="I5" s="675">
        <f>5008*0.276</f>
        <v>1382.2080000000001</v>
      </c>
      <c r="J5" s="675"/>
      <c r="K5" s="675"/>
      <c r="L5" s="675">
        <v>58278</v>
      </c>
      <c r="M5" s="675">
        <v>10.678610875959475</v>
      </c>
      <c r="N5" s="710">
        <f>SUMSQ(M5)</f>
        <v>114.03273024015998</v>
      </c>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6"/>
      <c r="AN5" s="656"/>
      <c r="AO5" s="656"/>
      <c r="AP5" s="656"/>
      <c r="AQ5" s="656"/>
      <c r="AR5" s="656"/>
      <c r="AS5" s="656"/>
      <c r="AT5" s="656"/>
      <c r="AU5" s="656"/>
      <c r="AV5" s="656"/>
      <c r="AW5" s="656"/>
      <c r="AX5" s="656"/>
      <c r="AY5" s="656"/>
      <c r="AZ5" s="656"/>
      <c r="BA5" s="656"/>
    </row>
    <row r="6" spans="1:53" x14ac:dyDescent="0.2">
      <c r="A6" s="674" t="s">
        <v>737</v>
      </c>
      <c r="B6" s="662"/>
      <c r="C6" s="662">
        <v>29263</v>
      </c>
      <c r="D6" s="662"/>
      <c r="E6" s="662"/>
      <c r="F6" s="662"/>
      <c r="G6" s="662"/>
      <c r="H6" s="662"/>
      <c r="I6" s="662"/>
      <c r="J6" s="662"/>
      <c r="K6" s="662"/>
      <c r="L6" s="662">
        <v>29263</v>
      </c>
      <c r="M6" s="662">
        <v>5.3620266663784291</v>
      </c>
      <c r="N6" s="710">
        <f>SUMSQ(M6)</f>
        <v>28.751329970953368</v>
      </c>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56"/>
      <c r="BA6" s="656"/>
    </row>
    <row r="7" spans="1:53" s="690" customFormat="1" x14ac:dyDescent="0.2">
      <c r="A7" s="674" t="s">
        <v>710</v>
      </c>
      <c r="B7" s="662"/>
      <c r="C7" s="662"/>
      <c r="D7" s="662"/>
      <c r="E7" s="711" t="s">
        <v>736</v>
      </c>
      <c r="F7" s="662"/>
      <c r="G7" s="662"/>
      <c r="H7" s="662"/>
      <c r="I7" s="662"/>
      <c r="J7" s="662"/>
      <c r="K7" s="662"/>
      <c r="L7" s="662"/>
      <c r="M7" s="662"/>
      <c r="N7" s="710"/>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6"/>
      <c r="BA7" s="656"/>
    </row>
    <row r="8" spans="1:53" x14ac:dyDescent="0.2">
      <c r="A8" s="674" t="s">
        <v>708</v>
      </c>
      <c r="B8" s="662">
        <v>2027</v>
      </c>
      <c r="C8" s="662"/>
      <c r="D8" s="662">
        <v>5822</v>
      </c>
      <c r="E8" s="662">
        <v>10481</v>
      </c>
      <c r="F8" s="662"/>
      <c r="G8" s="662"/>
      <c r="H8" s="662"/>
      <c r="I8" s="679"/>
      <c r="J8" s="662"/>
      <c r="K8" s="662"/>
      <c r="L8" s="662">
        <v>24449</v>
      </c>
      <c r="M8" s="662">
        <v>4.4799299445130778</v>
      </c>
      <c r="N8" s="710">
        <f>SUMSQ(M8)</f>
        <v>20.069772307744948</v>
      </c>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row>
    <row r="9" spans="1:53" x14ac:dyDescent="0.2">
      <c r="A9" s="674" t="s">
        <v>735</v>
      </c>
      <c r="B9" s="662"/>
      <c r="C9" s="662">
        <v>20535</v>
      </c>
      <c r="D9" s="662"/>
      <c r="E9" s="662"/>
      <c r="F9" s="662"/>
      <c r="G9" s="662"/>
      <c r="H9" s="662"/>
      <c r="I9" s="662"/>
      <c r="J9" s="662"/>
      <c r="K9" s="662"/>
      <c r="L9" s="662">
        <v>20535</v>
      </c>
      <c r="M9" s="662">
        <v>3.7627453642511375</v>
      </c>
      <c r="N9" s="710">
        <f>SUMSQ(M9)</f>
        <v>14.158252676193426</v>
      </c>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row>
    <row r="10" spans="1:53" x14ac:dyDescent="0.2">
      <c r="A10" s="674" t="s">
        <v>734</v>
      </c>
      <c r="B10" s="662"/>
      <c r="C10" s="662">
        <f>SUM(C3:C9)</f>
        <v>188730</v>
      </c>
      <c r="D10" s="662"/>
      <c r="E10" s="662"/>
      <c r="F10" s="662"/>
      <c r="G10" s="662"/>
      <c r="H10" s="662"/>
      <c r="I10" s="662"/>
      <c r="J10" s="662"/>
      <c r="K10" s="662">
        <v>20102</v>
      </c>
      <c r="L10" s="662">
        <v>20102</v>
      </c>
      <c r="M10" s="710">
        <v>3.700469537259151</v>
      </c>
      <c r="N10" s="710">
        <f>SUMSQ(M10)</f>
        <v>13.693474796182954</v>
      </c>
    </row>
    <row r="11" spans="1:53" x14ac:dyDescent="0.2">
      <c r="A11" s="674" t="s">
        <v>709</v>
      </c>
      <c r="B11" s="662"/>
      <c r="C11" s="662"/>
      <c r="D11" s="662"/>
      <c r="E11" s="662"/>
      <c r="F11" s="662">
        <f>20354*0.781</f>
        <v>15896.474</v>
      </c>
      <c r="G11" s="679"/>
      <c r="H11" s="662"/>
      <c r="I11" s="662">
        <f>5974*0.276</f>
        <v>1648.8240000000001</v>
      </c>
      <c r="J11" s="662"/>
      <c r="K11" s="662"/>
      <c r="L11" s="662">
        <v>19062.694</v>
      </c>
      <c r="M11" s="662">
        <v>3.5091492610234205</v>
      </c>
      <c r="N11" s="710">
        <f>SUMSQ(M11)</f>
        <v>12.314128536141219</v>
      </c>
      <c r="Q11" s="714" t="s">
        <v>741</v>
      </c>
      <c r="R11" s="623"/>
      <c r="S11" s="623"/>
      <c r="T11" s="623"/>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row>
    <row r="12" spans="1:53" x14ac:dyDescent="0.2">
      <c r="A12" s="674" t="s">
        <v>704</v>
      </c>
      <c r="B12" s="662"/>
      <c r="C12" s="662"/>
      <c r="D12" s="662"/>
      <c r="E12" s="662"/>
      <c r="F12" s="662">
        <f>13661*0.53</f>
        <v>7240.33</v>
      </c>
      <c r="G12" s="662"/>
      <c r="H12" s="662"/>
      <c r="I12" s="662">
        <f>6119*0.276</f>
        <v>1688.8440000000001</v>
      </c>
      <c r="J12" s="662"/>
      <c r="K12" s="662"/>
      <c r="L12" s="662">
        <v>10483.4</v>
      </c>
      <c r="M12" s="662">
        <v>1.929832969202198</v>
      </c>
      <c r="N12" s="710">
        <f>SUMSQ(M12)</f>
        <v>3.724255289019772</v>
      </c>
      <c r="Q12" s="623"/>
      <c r="R12" s="623"/>
      <c r="S12" s="623"/>
      <c r="T12" s="623"/>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6"/>
      <c r="AY12" s="656"/>
      <c r="AZ12" s="656"/>
      <c r="BA12" s="656"/>
    </row>
    <row r="13" spans="1:53" x14ac:dyDescent="0.2">
      <c r="A13" s="674" t="s">
        <v>706</v>
      </c>
      <c r="B13" s="662"/>
      <c r="C13" s="662"/>
      <c r="D13" s="662"/>
      <c r="E13" s="662"/>
      <c r="F13" s="662">
        <f>10881*0.57</f>
        <v>6202.1699999999992</v>
      </c>
      <c r="G13" s="662">
        <v>4860</v>
      </c>
      <c r="H13" s="662"/>
      <c r="I13" s="662">
        <f>8643*0.276</f>
        <v>2385.4680000000003</v>
      </c>
      <c r="J13" s="662"/>
      <c r="K13" s="662"/>
      <c r="L13" s="662">
        <v>15988.679999999997</v>
      </c>
      <c r="M13" s="662">
        <v>2.9432704845778845</v>
      </c>
      <c r="N13" s="710">
        <f>SUMSQ(M13)</f>
        <v>8.6628411453873344</v>
      </c>
      <c r="Q13" s="623"/>
      <c r="R13" s="623"/>
      <c r="S13" s="623"/>
      <c r="T13" s="623"/>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row>
    <row r="14" spans="1:53" x14ac:dyDescent="0.2">
      <c r="A14" s="674" t="s">
        <v>707</v>
      </c>
      <c r="B14" s="662"/>
      <c r="C14" s="662"/>
      <c r="D14" s="662"/>
      <c r="E14" s="662">
        <v>13900</v>
      </c>
      <c r="F14" s="662"/>
      <c r="G14" s="662"/>
      <c r="H14" s="662"/>
      <c r="I14" s="662"/>
      <c r="J14" s="662"/>
      <c r="K14" s="662"/>
      <c r="L14" s="662">
        <v>13900</v>
      </c>
      <c r="M14" s="662">
        <v>2.5587765678988261</v>
      </c>
      <c r="N14" s="710">
        <f>SUMSQ(M14)</f>
        <v>6.5473375244280962</v>
      </c>
      <c r="Q14" s="623"/>
      <c r="R14" s="623"/>
      <c r="S14" s="623"/>
      <c r="T14" s="623"/>
      <c r="Z14" s="656"/>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row>
    <row r="15" spans="1:53" x14ac:dyDescent="0.2">
      <c r="A15" s="674" t="s">
        <v>703</v>
      </c>
      <c r="B15" s="662"/>
      <c r="C15" s="662"/>
      <c r="D15" s="662"/>
      <c r="E15" s="662"/>
      <c r="F15" s="662">
        <f>9656*0.53</f>
        <v>5117.68</v>
      </c>
      <c r="G15" s="662"/>
      <c r="H15" s="662"/>
      <c r="I15" s="662">
        <v>2260</v>
      </c>
      <c r="J15" s="662"/>
      <c r="K15" s="662"/>
      <c r="L15" s="662">
        <v>7377.68</v>
      </c>
      <c r="M15" s="662">
        <v>1.35811760499682</v>
      </c>
      <c r="N15" s="710">
        <f>SUMSQ(M15)</f>
        <v>1.8444834290022984</v>
      </c>
      <c r="Q15" s="623"/>
      <c r="R15" s="623"/>
      <c r="S15" s="623"/>
      <c r="T15" s="623"/>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6"/>
      <c r="BA15" s="656"/>
    </row>
    <row r="16" spans="1:53" s="690" customFormat="1" x14ac:dyDescent="0.2">
      <c r="A16" s="678" t="s">
        <v>702</v>
      </c>
      <c r="B16" s="675">
        <v>716.73921815904703</v>
      </c>
      <c r="C16" s="675"/>
      <c r="D16" s="675">
        <v>2223.530116583112</v>
      </c>
      <c r="E16" s="675">
        <v>4048</v>
      </c>
      <c r="F16" s="675"/>
      <c r="G16" s="675"/>
      <c r="H16" s="675"/>
      <c r="I16" s="675"/>
      <c r="J16" s="675"/>
      <c r="K16" s="675"/>
      <c r="L16" s="675">
        <v>6988.2693347421591</v>
      </c>
      <c r="M16" s="675">
        <v>1.2864330808564139</v>
      </c>
      <c r="N16" s="710">
        <f>SUMSQ(M16)</f>
        <v>1.6549100715217249</v>
      </c>
      <c r="O16" s="656"/>
      <c r="P16" s="656"/>
      <c r="Q16" s="623"/>
      <c r="R16" s="623"/>
      <c r="S16" s="623"/>
      <c r="T16" s="623"/>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6"/>
      <c r="AY16" s="656"/>
      <c r="AZ16" s="656"/>
      <c r="BA16" s="656"/>
    </row>
    <row r="17" spans="1:53" s="690" customFormat="1" x14ac:dyDescent="0.2">
      <c r="A17" s="678" t="s">
        <v>701</v>
      </c>
      <c r="B17" s="675">
        <v>644</v>
      </c>
      <c r="C17" s="675"/>
      <c r="D17" s="675">
        <v>2186</v>
      </c>
      <c r="E17" s="675">
        <v>4040</v>
      </c>
      <c r="F17" s="675"/>
      <c r="G17" s="675"/>
      <c r="H17" s="675"/>
      <c r="I17" s="675"/>
      <c r="J17" s="675"/>
      <c r="K17" s="675"/>
      <c r="L17" s="675">
        <v>6870</v>
      </c>
      <c r="M17" s="675">
        <v>1.2646615123356069</v>
      </c>
      <c r="N17" s="710">
        <f>SUMSQ(M17)</f>
        <v>1.5993687407829844</v>
      </c>
      <c r="O17" s="656"/>
      <c r="P17" s="656"/>
      <c r="Q17" s="623"/>
      <c r="R17" s="623"/>
      <c r="S17" s="623"/>
      <c r="T17" s="623"/>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row>
    <row r="18" spans="1:53" s="690" customFormat="1" x14ac:dyDescent="0.2">
      <c r="A18" s="678" t="s">
        <v>700</v>
      </c>
      <c r="B18" s="675">
        <v>841</v>
      </c>
      <c r="C18" s="675"/>
      <c r="D18" s="675">
        <v>1342.6</v>
      </c>
      <c r="E18" s="675">
        <v>3149.7</v>
      </c>
      <c r="F18" s="675">
        <v>1485</v>
      </c>
      <c r="G18" s="675"/>
      <c r="H18" s="675"/>
      <c r="I18" s="675"/>
      <c r="J18" s="675"/>
      <c r="K18" s="675"/>
      <c r="L18" s="675">
        <v>6818.2999999999993</v>
      </c>
      <c r="M18" s="675">
        <v>1.2551443361801844</v>
      </c>
      <c r="N18" s="710">
        <f>SUMSQ(M18)</f>
        <v>1.5753873046451958</v>
      </c>
      <c r="O18" s="656"/>
      <c r="P18" s="656"/>
      <c r="Q18" s="623"/>
      <c r="R18" s="623"/>
      <c r="S18" s="623"/>
      <c r="T18" s="623"/>
    </row>
    <row r="19" spans="1:53" x14ac:dyDescent="0.2">
      <c r="A19" s="674" t="s">
        <v>699</v>
      </c>
      <c r="B19" s="662">
        <v>2210.8000000000002</v>
      </c>
      <c r="C19" s="662"/>
      <c r="D19" s="662">
        <v>2141.6999999999998</v>
      </c>
      <c r="E19" s="662">
        <v>1647.5</v>
      </c>
      <c r="F19" s="662"/>
      <c r="G19" s="662"/>
      <c r="H19" s="662"/>
      <c r="I19" s="662"/>
      <c r="J19" s="662"/>
      <c r="K19" s="662"/>
      <c r="L19" s="662">
        <v>6000</v>
      </c>
      <c r="M19" s="662">
        <v>1.1045078710354646</v>
      </c>
      <c r="N19" s="710">
        <f>SUMSQ(M19)</f>
        <v>1.2199376371792945</v>
      </c>
      <c r="Q19" s="623"/>
      <c r="R19" s="623"/>
      <c r="S19" s="623"/>
      <c r="T19" s="623"/>
      <c r="Z19" s="656"/>
      <c r="AA19" s="656"/>
      <c r="AB19" s="656"/>
      <c r="AC19" s="656"/>
      <c r="AD19" s="656"/>
      <c r="AE19" s="656"/>
      <c r="AF19" s="656"/>
      <c r="AG19" s="656"/>
      <c r="AH19" s="656"/>
      <c r="AI19" s="656"/>
      <c r="AJ19" s="656"/>
      <c r="AK19" s="656"/>
      <c r="AL19" s="656"/>
      <c r="AM19" s="656"/>
      <c r="AN19" s="656"/>
      <c r="AO19" s="656"/>
      <c r="AP19" s="656"/>
      <c r="AQ19" s="656"/>
      <c r="AR19" s="656"/>
      <c r="AS19" s="656"/>
      <c r="AT19" s="656"/>
      <c r="AU19" s="656"/>
      <c r="AV19" s="656"/>
      <c r="AW19" s="656"/>
      <c r="AX19" s="656"/>
      <c r="AY19" s="656"/>
      <c r="AZ19" s="656"/>
      <c r="BA19" s="656"/>
    </row>
    <row r="20" spans="1:53" x14ac:dyDescent="0.2">
      <c r="A20" s="674" t="s">
        <v>698</v>
      </c>
      <c r="B20" s="662"/>
      <c r="C20" s="662"/>
      <c r="D20" s="662"/>
      <c r="E20" s="662"/>
      <c r="F20" s="662">
        <v>2069</v>
      </c>
      <c r="G20" s="662">
        <v>2696</v>
      </c>
      <c r="H20" s="662"/>
      <c r="I20" s="662"/>
      <c r="J20" s="662"/>
      <c r="K20" s="662"/>
      <c r="L20" s="662">
        <v>4765</v>
      </c>
      <c r="M20" s="662">
        <v>0.87716333424733151</v>
      </c>
      <c r="N20" s="710">
        <f>SUMSQ(M20)</f>
        <v>0.76941551494789584</v>
      </c>
      <c r="Q20" s="623"/>
      <c r="R20" s="623"/>
      <c r="S20" s="623"/>
      <c r="T20" s="623"/>
      <c r="Z20" s="656"/>
      <c r="AA20" s="656"/>
      <c r="AB20" s="656"/>
      <c r="AC20" s="656"/>
      <c r="AD20" s="656"/>
      <c r="AE20" s="656"/>
      <c r="AF20" s="656"/>
      <c r="AG20" s="656"/>
      <c r="AH20" s="656"/>
      <c r="AI20" s="656"/>
      <c r="AJ20" s="656"/>
      <c r="AK20" s="656"/>
      <c r="AL20" s="656"/>
      <c r="AM20" s="656"/>
      <c r="AN20" s="656"/>
      <c r="AO20" s="656"/>
      <c r="AP20" s="656"/>
      <c r="AQ20" s="656"/>
      <c r="AR20" s="656"/>
      <c r="AS20" s="656"/>
      <c r="AT20" s="656"/>
      <c r="AU20" s="656"/>
      <c r="AV20" s="656"/>
      <c r="AW20" s="656"/>
      <c r="AX20" s="656"/>
      <c r="AY20" s="656"/>
      <c r="AZ20" s="656"/>
      <c r="BA20" s="656"/>
    </row>
    <row r="21" spans="1:53" s="656" customFormat="1" x14ac:dyDescent="0.2">
      <c r="A21" s="674" t="s">
        <v>697</v>
      </c>
      <c r="B21" s="662">
        <f>D21*0.322</f>
        <v>416.04702300000002</v>
      </c>
      <c r="C21" s="662"/>
      <c r="D21" s="662">
        <v>1292.0715</v>
      </c>
      <c r="E21" s="662">
        <v>2353.5</v>
      </c>
      <c r="F21" s="662"/>
      <c r="G21" s="662"/>
      <c r="H21" s="662"/>
      <c r="I21" s="662"/>
      <c r="J21" s="662"/>
      <c r="K21" s="662"/>
      <c r="L21" s="662">
        <v>4061.6185230000001</v>
      </c>
      <c r="M21" s="662">
        <v>0.74768160463282296</v>
      </c>
      <c r="N21" s="710">
        <f>SUMSQ(M21)</f>
        <v>0.55902778190631297</v>
      </c>
    </row>
    <row r="22" spans="1:53" s="690" customFormat="1" x14ac:dyDescent="0.2">
      <c r="A22" s="678" t="s">
        <v>696</v>
      </c>
      <c r="B22" s="675"/>
      <c r="C22" s="675"/>
      <c r="D22" s="675"/>
      <c r="E22" s="675"/>
      <c r="F22" s="675">
        <v>1297.7</v>
      </c>
      <c r="G22" s="675"/>
      <c r="H22" s="675"/>
      <c r="I22" s="677"/>
      <c r="J22" s="675">
        <f>3625*0.739</f>
        <v>2678.875</v>
      </c>
      <c r="K22" s="675"/>
      <c r="L22" s="675">
        <v>3976.5749999999998</v>
      </c>
      <c r="M22" s="675">
        <v>0.73202639787714208</v>
      </c>
      <c r="N22" s="710">
        <f>SUMSQ(M22)</f>
        <v>0.53586264718898391</v>
      </c>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6"/>
      <c r="AM22" s="656"/>
      <c r="AN22" s="656"/>
      <c r="AO22" s="656"/>
      <c r="AP22" s="656"/>
      <c r="AQ22" s="656"/>
      <c r="AR22" s="656"/>
      <c r="AS22" s="656"/>
      <c r="AT22" s="656"/>
      <c r="AU22" s="656"/>
      <c r="AV22" s="656"/>
      <c r="AW22" s="656"/>
      <c r="AX22" s="656"/>
      <c r="AY22" s="656"/>
      <c r="AZ22" s="656"/>
      <c r="BA22" s="656"/>
    </row>
    <row r="23" spans="1:53" s="656" customFormat="1" x14ac:dyDescent="0.2">
      <c r="A23" s="674" t="s">
        <v>695</v>
      </c>
      <c r="B23" s="662"/>
      <c r="C23" s="662"/>
      <c r="D23" s="662"/>
      <c r="E23" s="662"/>
      <c r="F23" s="662">
        <v>3061</v>
      </c>
      <c r="G23" s="662"/>
      <c r="H23" s="662"/>
      <c r="I23" s="662"/>
      <c r="J23" s="662"/>
      <c r="K23" s="662"/>
      <c r="L23" s="662">
        <v>3061</v>
      </c>
      <c r="M23" s="662">
        <v>0.56348309887325942</v>
      </c>
      <c r="N23" s="710">
        <f>SUMSQ(M23)</f>
        <v>0.31751320271581146</v>
      </c>
    </row>
    <row r="24" spans="1:53" x14ac:dyDescent="0.2">
      <c r="A24" s="674" t="s">
        <v>733</v>
      </c>
      <c r="B24" s="662"/>
      <c r="C24" s="662"/>
      <c r="D24" s="662"/>
      <c r="E24" s="662"/>
      <c r="F24" s="662"/>
      <c r="G24" s="662"/>
      <c r="H24" s="662"/>
      <c r="I24" s="662"/>
      <c r="J24" s="662"/>
      <c r="K24" s="662">
        <v>2817.7</v>
      </c>
      <c r="L24" s="662">
        <v>2817.7</v>
      </c>
      <c r="M24" s="662">
        <v>0.51869530470277136</v>
      </c>
      <c r="N24" s="710">
        <f>SUMSQ(M24)</f>
        <v>0.26904481912070083</v>
      </c>
    </row>
    <row r="25" spans="1:53" x14ac:dyDescent="0.2">
      <c r="A25" s="673" t="s">
        <v>694</v>
      </c>
      <c r="B25" s="671"/>
      <c r="C25" s="671"/>
      <c r="D25" s="671"/>
      <c r="E25" s="671"/>
      <c r="F25" s="671"/>
      <c r="G25" s="671"/>
      <c r="H25" s="671">
        <v>2751.4</v>
      </c>
      <c r="I25" s="671"/>
      <c r="J25" s="671"/>
      <c r="K25" s="671"/>
      <c r="L25" s="671">
        <v>2751.4</v>
      </c>
      <c r="M25" s="671">
        <v>0.50649049272782953</v>
      </c>
      <c r="N25" s="710">
        <f>SUMSQ(M25)</f>
        <v>0.25653261922367954</v>
      </c>
    </row>
    <row r="26" spans="1:53" s="656" customFormat="1" x14ac:dyDescent="0.2">
      <c r="A26" s="674" t="s">
        <v>693</v>
      </c>
      <c r="B26" s="662"/>
      <c r="C26" s="662"/>
      <c r="D26" s="662"/>
      <c r="E26" s="662"/>
      <c r="F26" s="662">
        <v>2452.5</v>
      </c>
      <c r="G26" s="662"/>
      <c r="H26" s="662"/>
      <c r="I26" s="662"/>
      <c r="J26" s="662"/>
      <c r="K26" s="662"/>
      <c r="L26" s="662">
        <v>2452.5</v>
      </c>
      <c r="M26" s="662">
        <v>0.45146759228574607</v>
      </c>
      <c r="N26" s="710">
        <f>SUMSQ(M26)</f>
        <v>0.20382298688428865</v>
      </c>
    </row>
    <row r="27" spans="1:53" s="709" customFormat="1" x14ac:dyDescent="0.2">
      <c r="A27" s="673" t="s">
        <v>692</v>
      </c>
      <c r="B27" s="671"/>
      <c r="C27" s="671"/>
      <c r="D27" s="671"/>
      <c r="E27" s="671"/>
      <c r="F27" s="671">
        <f>SUM(F5:F26)</f>
        <v>54022.853999999999</v>
      </c>
      <c r="G27" s="671">
        <v>1363.1</v>
      </c>
      <c r="H27" s="671"/>
      <c r="I27" s="671"/>
      <c r="J27" s="671"/>
      <c r="K27" s="671"/>
      <c r="L27" s="671">
        <v>1363.1</v>
      </c>
      <c r="M27" s="671">
        <v>0.25092577983474024</v>
      </c>
      <c r="N27" s="710">
        <f>SUMSQ(M27)</f>
        <v>6.2963746985672531E-2</v>
      </c>
      <c r="O27" s="695"/>
      <c r="P27" s="695"/>
      <c r="Q27" s="695"/>
      <c r="R27" s="695"/>
      <c r="S27" s="695"/>
      <c r="T27" s="695"/>
      <c r="U27" s="695"/>
      <c r="V27" s="695"/>
      <c r="W27" s="695"/>
      <c r="X27" s="695"/>
      <c r="Y27" s="695"/>
    </row>
    <row r="28" spans="1:53" s="709" customFormat="1" x14ac:dyDescent="0.2">
      <c r="A28" s="673"/>
      <c r="B28" s="671"/>
      <c r="C28" s="671"/>
      <c r="D28" s="671"/>
      <c r="E28" s="671"/>
      <c r="F28" s="671"/>
      <c r="G28" s="671"/>
      <c r="H28" s="671"/>
      <c r="I28" s="671"/>
      <c r="J28" s="671"/>
      <c r="K28" s="671"/>
      <c r="L28" s="671"/>
      <c r="M28" s="671"/>
      <c r="N28" s="710">
        <f>SUM(N3:N27)</f>
        <v>1037.9736772997833</v>
      </c>
      <c r="O28" s="695"/>
      <c r="P28" s="695"/>
      <c r="Q28" s="695"/>
      <c r="R28" s="695"/>
      <c r="S28" s="695"/>
      <c r="T28" s="695"/>
      <c r="U28" s="695"/>
      <c r="V28" s="695"/>
      <c r="W28" s="695"/>
      <c r="X28" s="695"/>
      <c r="Y28" s="695"/>
    </row>
    <row r="29" spans="1:53" s="706" customFormat="1" x14ac:dyDescent="0.2">
      <c r="A29" s="670" t="s">
        <v>732</v>
      </c>
      <c r="B29" s="669">
        <v>55105</v>
      </c>
      <c r="C29" s="667">
        <v>195608</v>
      </c>
      <c r="D29" s="669">
        <v>61493.7</v>
      </c>
      <c r="E29" s="667">
        <v>103926.69999999998</v>
      </c>
      <c r="F29" s="669">
        <f>E29*0.4551</f>
        <v>47297.04116999999</v>
      </c>
      <c r="G29" s="667">
        <v>24169</v>
      </c>
      <c r="H29" s="667">
        <v>5445.7</v>
      </c>
      <c r="I29" s="667">
        <v>9900</v>
      </c>
      <c r="J29" s="669"/>
      <c r="K29" s="669">
        <v>42800</v>
      </c>
      <c r="L29" s="667">
        <f>SUM(B29:K29)</f>
        <v>545745.14116999996</v>
      </c>
      <c r="M29" s="667">
        <v>545745.14116999996</v>
      </c>
      <c r="N29" s="708"/>
      <c r="O29" s="707"/>
      <c r="P29" s="707"/>
      <c r="Q29" s="708"/>
      <c r="R29" s="707"/>
      <c r="S29" s="707"/>
      <c r="T29" s="707"/>
      <c r="U29" s="707"/>
      <c r="V29" s="707"/>
      <c r="W29" s="707"/>
      <c r="X29" s="707"/>
      <c r="Y29" s="707"/>
    </row>
    <row r="30" spans="1:53" x14ac:dyDescent="0.2">
      <c r="A30" s="666" t="s">
        <v>690</v>
      </c>
      <c r="B30" s="663"/>
      <c r="C30" s="663"/>
      <c r="D30" s="663"/>
      <c r="E30" s="663"/>
      <c r="F30" s="663"/>
      <c r="G30" s="663"/>
      <c r="H30" s="663"/>
      <c r="I30" s="663"/>
      <c r="J30" s="663"/>
      <c r="K30" s="663"/>
      <c r="L30" s="662">
        <v>55.417955595831771</v>
      </c>
      <c r="M30" s="662">
        <f>M3+M4+M5+M6</f>
        <v>55.417955595831771</v>
      </c>
      <c r="N30" s="702" t="s">
        <v>731</v>
      </c>
      <c r="O30" s="701">
        <v>68.099999999999994</v>
      </c>
    </row>
    <row r="31" spans="1:53" x14ac:dyDescent="0.2">
      <c r="A31" s="666" t="s">
        <v>689</v>
      </c>
      <c r="B31" s="663"/>
      <c r="C31" s="663"/>
      <c r="D31" s="665"/>
      <c r="E31" s="664"/>
      <c r="F31" s="663"/>
      <c r="G31" s="664"/>
      <c r="H31" s="663"/>
      <c r="I31" s="663"/>
      <c r="J31" s="663"/>
      <c r="K31" s="663"/>
      <c r="L31" s="662">
        <v>1038</v>
      </c>
      <c r="M31" s="662">
        <v>1038</v>
      </c>
      <c r="N31" s="702" t="s">
        <v>730</v>
      </c>
      <c r="O31" s="701">
        <v>1420.7</v>
      </c>
    </row>
    <row r="32" spans="1:53" ht="39" thickBot="1" x14ac:dyDescent="0.25">
      <c r="A32" s="661" t="s">
        <v>688</v>
      </c>
      <c r="B32" s="660"/>
      <c r="C32" s="660"/>
      <c r="D32" s="660"/>
      <c r="E32" s="660"/>
      <c r="F32" s="660"/>
      <c r="G32" s="660"/>
      <c r="H32" s="660"/>
      <c r="I32" s="660"/>
      <c r="J32" s="660"/>
      <c r="K32" s="660"/>
      <c r="L32" s="658">
        <v>36.782604121520819</v>
      </c>
      <c r="M32" s="658">
        <f>M3+M5+M16+M17</f>
        <v>36.782604121520819</v>
      </c>
      <c r="N32" s="705" t="s">
        <v>729</v>
      </c>
      <c r="O32" s="704">
        <v>57.5</v>
      </c>
    </row>
    <row r="33" spans="1:25" x14ac:dyDescent="0.2">
      <c r="A33" s="703"/>
      <c r="B33" s="663"/>
      <c r="C33" s="663"/>
      <c r="D33" s="663"/>
      <c r="E33" s="663"/>
      <c r="F33" s="663"/>
      <c r="G33" s="663"/>
      <c r="H33" s="663"/>
      <c r="I33" s="663"/>
      <c r="J33" s="663"/>
      <c r="K33" s="663"/>
      <c r="L33" s="663"/>
      <c r="M33" s="679"/>
      <c r="N33" s="702"/>
      <c r="O33" s="701"/>
    </row>
    <row r="34" spans="1:25" ht="26.1" customHeight="1" x14ac:dyDescent="0.2">
      <c r="A34" s="700" t="s">
        <v>728</v>
      </c>
      <c r="B34" s="700"/>
      <c r="C34" s="700"/>
      <c r="D34" s="700"/>
      <c r="E34" s="697"/>
      <c r="F34" s="697"/>
      <c r="G34" s="697"/>
      <c r="H34" s="697"/>
      <c r="I34" s="697"/>
      <c r="J34" s="697"/>
      <c r="K34" s="697"/>
      <c r="L34" s="697"/>
      <c r="M34" s="697"/>
    </row>
    <row r="35" spans="1:25" ht="15.95" customHeight="1" x14ac:dyDescent="0.2">
      <c r="A35" s="693"/>
      <c r="B35" s="693"/>
      <c r="C35" s="693"/>
      <c r="D35" s="693"/>
      <c r="E35" s="696"/>
      <c r="F35" s="696"/>
      <c r="G35" s="696"/>
      <c r="H35" s="696"/>
      <c r="I35" s="696"/>
      <c r="J35" s="696"/>
      <c r="K35" s="696"/>
      <c r="L35" s="696"/>
      <c r="M35" s="696"/>
    </row>
    <row r="36" spans="1:25" ht="14.1" customHeight="1" x14ac:dyDescent="0.2">
      <c r="A36" s="693"/>
      <c r="B36" s="693"/>
      <c r="C36" s="693"/>
      <c r="D36" s="693"/>
      <c r="E36" s="696"/>
      <c r="F36" s="696"/>
      <c r="G36" s="696"/>
      <c r="H36" s="696"/>
      <c r="I36" s="696"/>
      <c r="J36" s="696"/>
      <c r="K36" s="699"/>
      <c r="L36" s="696"/>
      <c r="M36" s="696"/>
    </row>
    <row r="37" spans="1:25" s="696" customFormat="1" ht="15" customHeight="1" x14ac:dyDescent="0.2">
      <c r="A37" s="698" t="s">
        <v>727</v>
      </c>
      <c r="B37" s="697"/>
      <c r="C37" s="697"/>
      <c r="D37" s="697"/>
      <c r="E37" s="697"/>
      <c r="F37" s="697"/>
      <c r="G37" s="697"/>
      <c r="H37" s="697"/>
      <c r="I37" s="697"/>
      <c r="J37" s="697"/>
      <c r="K37" s="697"/>
      <c r="L37" s="697"/>
      <c r="M37" s="697"/>
      <c r="N37" s="697"/>
      <c r="O37" s="697"/>
      <c r="P37" s="697"/>
      <c r="Q37" s="697"/>
      <c r="R37" s="697"/>
      <c r="S37" s="697"/>
      <c r="T37" s="697"/>
      <c r="U37" s="697"/>
      <c r="V37" s="697"/>
      <c r="W37" s="697"/>
      <c r="X37" s="697"/>
      <c r="Y37" s="697"/>
    </row>
    <row r="38" spans="1:25" ht="15" customHeight="1" x14ac:dyDescent="0.2">
      <c r="A38" s="693"/>
      <c r="B38" s="693"/>
      <c r="C38" s="693"/>
      <c r="D38" s="692" t="s">
        <v>720</v>
      </c>
      <c r="E38" s="692" t="s">
        <v>719</v>
      </c>
      <c r="F38" s="692" t="s">
        <v>718</v>
      </c>
      <c r="G38" s="692" t="s">
        <v>717</v>
      </c>
      <c r="H38" s="691" t="s">
        <v>726</v>
      </c>
      <c r="I38" s="696"/>
      <c r="J38" s="696"/>
      <c r="K38" s="696"/>
      <c r="L38" s="696"/>
      <c r="M38" s="696"/>
    </row>
    <row r="39" spans="1:25" x14ac:dyDescent="0.2">
      <c r="C39" s="690" t="s">
        <v>725</v>
      </c>
      <c r="D39" s="675">
        <v>11321</v>
      </c>
      <c r="E39" s="675">
        <v>20535</v>
      </c>
      <c r="F39" s="675">
        <v>9201</v>
      </c>
      <c r="G39" s="675">
        <v>8542</v>
      </c>
      <c r="H39" s="689">
        <f>SUM(D39:G39)</f>
        <v>49599</v>
      </c>
    </row>
    <row r="40" spans="1:25" x14ac:dyDescent="0.2">
      <c r="C40" s="690" t="s">
        <v>725</v>
      </c>
      <c r="D40" s="675"/>
      <c r="E40" s="675">
        <v>24700</v>
      </c>
      <c r="F40" s="675"/>
      <c r="G40" s="675"/>
      <c r="H40" s="689">
        <f>SUM(D40:G40)</f>
        <v>24700</v>
      </c>
    </row>
    <row r="41" spans="1:25" x14ac:dyDescent="0.2">
      <c r="C41" s="678" t="s">
        <v>702</v>
      </c>
      <c r="D41" s="675">
        <v>2223.530116583112</v>
      </c>
      <c r="E41" s="675">
        <v>4048</v>
      </c>
      <c r="F41" s="675"/>
      <c r="G41" s="675"/>
      <c r="H41" s="689">
        <f>SUM(D41:G41)</f>
        <v>6271.5301165831115</v>
      </c>
      <c r="L41" s="666"/>
      <c r="M41" s="662"/>
      <c r="N41" s="695"/>
      <c r="Y41" s="655"/>
    </row>
    <row r="42" spans="1:25" x14ac:dyDescent="0.2">
      <c r="C42" s="678" t="s">
        <v>701</v>
      </c>
      <c r="D42" s="675">
        <v>2186</v>
      </c>
      <c r="E42" s="675">
        <v>4040</v>
      </c>
      <c r="F42" s="675"/>
      <c r="G42" s="675"/>
      <c r="H42" s="689">
        <f>SUM(D42:G42)</f>
        <v>6226</v>
      </c>
      <c r="L42" s="666"/>
      <c r="M42" s="662"/>
      <c r="N42" s="695"/>
      <c r="Y42" s="655"/>
    </row>
    <row r="43" spans="1:25" ht="13.5" thickBot="1" x14ac:dyDescent="0.25">
      <c r="C43" s="678" t="s">
        <v>696</v>
      </c>
      <c r="D43" s="675"/>
      <c r="E43" s="675"/>
      <c r="F43" s="675">
        <v>1297.7</v>
      </c>
      <c r="G43" s="675"/>
      <c r="H43" s="689">
        <f>SUM(D43:G43)</f>
        <v>1297.7</v>
      </c>
      <c r="L43" s="661"/>
      <c r="M43" s="658"/>
      <c r="N43" s="694"/>
      <c r="Y43" s="655"/>
    </row>
    <row r="44" spans="1:25" x14ac:dyDescent="0.2">
      <c r="C44" s="687" t="s">
        <v>724</v>
      </c>
      <c r="D44" s="675"/>
      <c r="E44" s="675"/>
      <c r="F44" s="675"/>
      <c r="G44" s="675"/>
      <c r="H44" s="689">
        <f>SUM(H39:H43)</f>
        <v>88094.230116583101</v>
      </c>
    </row>
    <row r="45" spans="1:25" x14ac:dyDescent="0.2">
      <c r="C45" s="687" t="s">
        <v>723</v>
      </c>
      <c r="D45" s="667">
        <v>61493.7</v>
      </c>
      <c r="E45" s="667">
        <v>103926.69999999998</v>
      </c>
      <c r="F45" s="667">
        <f>E45*0.4551</f>
        <v>47297.04116999999</v>
      </c>
      <c r="G45" s="667">
        <v>24169</v>
      </c>
      <c r="H45" s="688">
        <f>SUM(D45:G45)</f>
        <v>236886.44116999995</v>
      </c>
    </row>
    <row r="46" spans="1:25" x14ac:dyDescent="0.2">
      <c r="C46" s="687" t="s">
        <v>722</v>
      </c>
      <c r="E46" s="663"/>
      <c r="F46" s="663"/>
      <c r="G46" s="663"/>
      <c r="H46" s="686">
        <f>H44/H45*100</f>
        <v>37.188380086880059</v>
      </c>
    </row>
    <row r="47" spans="1:25" x14ac:dyDescent="0.2">
      <c r="E47" s="688"/>
    </row>
    <row r="49" spans="3:25" ht="25.5" x14ac:dyDescent="0.2">
      <c r="C49" s="693"/>
      <c r="D49" s="692" t="s">
        <v>720</v>
      </c>
      <c r="E49" s="692" t="s">
        <v>719</v>
      </c>
      <c r="F49" s="692" t="s">
        <v>718</v>
      </c>
      <c r="G49" s="691" t="s">
        <v>726</v>
      </c>
      <c r="L49" s="656"/>
      <c r="Y49" s="655"/>
    </row>
    <row r="50" spans="3:25" x14ac:dyDescent="0.2">
      <c r="C50" s="690" t="s">
        <v>725</v>
      </c>
      <c r="D50" s="675">
        <v>11321</v>
      </c>
      <c r="E50" s="675">
        <v>20535</v>
      </c>
      <c r="F50" s="675">
        <v>9201</v>
      </c>
      <c r="G50" s="689">
        <v>41057</v>
      </c>
      <c r="L50" s="656"/>
      <c r="Y50" s="655"/>
    </row>
    <row r="51" spans="3:25" x14ac:dyDescent="0.2">
      <c r="C51" s="690" t="s">
        <v>725</v>
      </c>
      <c r="D51" s="675"/>
      <c r="E51" s="675">
        <v>24700</v>
      </c>
      <c r="F51" s="675"/>
      <c r="G51" s="689">
        <v>24700</v>
      </c>
      <c r="L51" s="656"/>
      <c r="Y51" s="655"/>
    </row>
    <row r="52" spans="3:25" x14ac:dyDescent="0.2">
      <c r="C52" s="678" t="s">
        <v>702</v>
      </c>
      <c r="D52" s="675">
        <v>2223.530116583112</v>
      </c>
      <c r="E52" s="675">
        <v>4048</v>
      </c>
      <c r="F52" s="675"/>
      <c r="G52" s="689">
        <v>6271.5301165831115</v>
      </c>
      <c r="L52" s="656"/>
      <c r="Y52" s="655"/>
    </row>
    <row r="53" spans="3:25" x14ac:dyDescent="0.2">
      <c r="C53" s="678" t="s">
        <v>701</v>
      </c>
      <c r="D53" s="675">
        <v>2186</v>
      </c>
      <c r="E53" s="675">
        <v>4040</v>
      </c>
      <c r="F53" s="675"/>
      <c r="G53" s="689">
        <v>6226</v>
      </c>
      <c r="L53" s="656"/>
      <c r="Y53" s="655"/>
    </row>
    <row r="54" spans="3:25" x14ac:dyDescent="0.2">
      <c r="C54" s="678" t="s">
        <v>696</v>
      </c>
      <c r="D54" s="675"/>
      <c r="E54" s="675"/>
      <c r="F54" s="675">
        <v>1297.7</v>
      </c>
      <c r="G54" s="689">
        <v>1297.7</v>
      </c>
      <c r="L54" s="656"/>
      <c r="Y54" s="655"/>
    </row>
    <row r="55" spans="3:25" x14ac:dyDescent="0.2">
      <c r="C55" s="687" t="s">
        <v>724</v>
      </c>
      <c r="D55" s="675"/>
      <c r="E55" s="675"/>
      <c r="F55" s="675"/>
      <c r="G55" s="689">
        <f>SUM(G50:G54)</f>
        <v>79552.230116583101</v>
      </c>
      <c r="L55" s="656"/>
      <c r="Y55" s="655"/>
    </row>
    <row r="56" spans="3:25" x14ac:dyDescent="0.2">
      <c r="C56" s="687" t="s">
        <v>723</v>
      </c>
      <c r="D56" s="667">
        <v>61493.7</v>
      </c>
      <c r="E56" s="667">
        <v>103926.69999999998</v>
      </c>
      <c r="F56" s="667">
        <f>E56*0.4551</f>
        <v>47297.04116999999</v>
      </c>
      <c r="G56" s="688">
        <f>SUM(D56:F56)</f>
        <v>212717.44116999995</v>
      </c>
      <c r="L56" s="656"/>
      <c r="Y56" s="655"/>
    </row>
    <row r="57" spans="3:25" x14ac:dyDescent="0.2">
      <c r="C57" s="687" t="s">
        <v>722</v>
      </c>
      <c r="E57" s="663"/>
      <c r="F57" s="663"/>
      <c r="G57" s="686">
        <f>G55/G56*100</f>
        <v>37.398075907187319</v>
      </c>
      <c r="L57" s="656"/>
      <c r="Y57" s="655"/>
    </row>
    <row r="58" spans="3:25" x14ac:dyDescent="0.2">
      <c r="Q58" s="656">
        <v>552</v>
      </c>
    </row>
    <row r="59" spans="3:25" x14ac:dyDescent="0.2">
      <c r="C59" s="693"/>
      <c r="D59" s="692" t="s">
        <v>719</v>
      </c>
      <c r="E59" s="692" t="s">
        <v>718</v>
      </c>
      <c r="F59" s="691" t="s">
        <v>726</v>
      </c>
      <c r="L59" s="656"/>
      <c r="Q59" s="656">
        <v>721</v>
      </c>
      <c r="Y59" s="655"/>
    </row>
    <row r="60" spans="3:25" x14ac:dyDescent="0.2">
      <c r="C60" s="690" t="s">
        <v>725</v>
      </c>
      <c r="D60" s="675">
        <v>20535</v>
      </c>
      <c r="E60" s="675">
        <v>9201</v>
      </c>
      <c r="F60" s="689">
        <v>41057</v>
      </c>
      <c r="L60" s="656"/>
      <c r="Q60" s="656">
        <v>832</v>
      </c>
      <c r="Y60" s="655"/>
    </row>
    <row r="61" spans="3:25" x14ac:dyDescent="0.2">
      <c r="C61" s="690" t="s">
        <v>725</v>
      </c>
      <c r="D61" s="675">
        <v>24700</v>
      </c>
      <c r="E61" s="675"/>
      <c r="F61" s="689">
        <v>24700</v>
      </c>
      <c r="L61" s="656"/>
      <c r="Q61" s="656">
        <v>1068</v>
      </c>
      <c r="Y61" s="655"/>
    </row>
    <row r="62" spans="3:25" x14ac:dyDescent="0.2">
      <c r="C62" s="678" t="s">
        <v>702</v>
      </c>
      <c r="D62" s="675">
        <v>4048</v>
      </c>
      <c r="E62" s="675"/>
      <c r="F62" s="689">
        <v>6271.5301165831115</v>
      </c>
      <c r="L62" s="656"/>
      <c r="Q62" s="656">
        <f>SUM(Q58:Q61)</f>
        <v>3173</v>
      </c>
      <c r="Y62" s="655"/>
    </row>
    <row r="63" spans="3:25" x14ac:dyDescent="0.2">
      <c r="C63" s="678" t="s">
        <v>701</v>
      </c>
      <c r="D63" s="675">
        <v>4040</v>
      </c>
      <c r="E63" s="675"/>
      <c r="F63" s="689">
        <v>6226</v>
      </c>
      <c r="L63" s="656"/>
      <c r="Q63" s="656">
        <f>Q62-355.3</f>
        <v>2817.7</v>
      </c>
      <c r="Y63" s="655"/>
    </row>
    <row r="64" spans="3:25" x14ac:dyDescent="0.2">
      <c r="C64" s="678" t="s">
        <v>696</v>
      </c>
      <c r="D64" s="675"/>
      <c r="E64" s="675">
        <v>1297.7</v>
      </c>
      <c r="F64" s="689">
        <v>1297.7</v>
      </c>
      <c r="L64" s="656"/>
      <c r="Y64" s="655"/>
    </row>
    <row r="65" spans="1:25" x14ac:dyDescent="0.2">
      <c r="C65" s="687" t="s">
        <v>724</v>
      </c>
      <c r="D65" s="675"/>
      <c r="E65" s="675"/>
      <c r="F65" s="689">
        <f>SUM(F60:F64)</f>
        <v>79552.230116583101</v>
      </c>
      <c r="L65" s="656"/>
      <c r="Y65" s="655"/>
    </row>
    <row r="66" spans="1:25" x14ac:dyDescent="0.2">
      <c r="C66" s="687" t="s">
        <v>723</v>
      </c>
      <c r="D66" s="667">
        <v>103926.69999999998</v>
      </c>
      <c r="E66" s="667">
        <f>D66*0.4551</f>
        <v>47297.04116999999</v>
      </c>
      <c r="F66" s="688">
        <f>SUM(D66:E66)</f>
        <v>151223.74116999996</v>
      </c>
      <c r="L66" s="656"/>
      <c r="Y66" s="655"/>
    </row>
    <row r="67" spans="1:25" x14ac:dyDescent="0.2">
      <c r="C67" s="687" t="s">
        <v>722</v>
      </c>
      <c r="D67" s="663"/>
      <c r="E67" s="663"/>
      <c r="F67" s="686">
        <f>F65/F66*100</f>
        <v>52.605648756668124</v>
      </c>
      <c r="L67" s="656"/>
      <c r="Y67" s="655"/>
    </row>
    <row r="70" spans="1:25" ht="13.5" thickBot="1" x14ac:dyDescent="0.25"/>
    <row r="71" spans="1:25" x14ac:dyDescent="0.2">
      <c r="A71" s="685" t="s">
        <v>721</v>
      </c>
      <c r="B71" s="684"/>
      <c r="C71" s="684"/>
      <c r="D71" s="684"/>
      <c r="E71" s="684"/>
      <c r="F71" s="684"/>
      <c r="G71" s="684"/>
      <c r="H71" s="684"/>
      <c r="I71" s="684"/>
      <c r="J71" s="684"/>
      <c r="K71" s="684"/>
      <c r="L71" s="684"/>
      <c r="M71" s="683"/>
    </row>
    <row r="72" spans="1:25" ht="76.5" x14ac:dyDescent="0.2">
      <c r="A72" s="682">
        <v>2013</v>
      </c>
      <c r="B72" s="680" t="s">
        <v>720</v>
      </c>
      <c r="C72" s="680" t="s">
        <v>719</v>
      </c>
      <c r="D72" s="680" t="s">
        <v>718</v>
      </c>
      <c r="E72" s="680" t="s">
        <v>717</v>
      </c>
      <c r="F72" s="680" t="s">
        <v>716</v>
      </c>
      <c r="G72" s="680" t="s">
        <v>715</v>
      </c>
      <c r="H72" s="680" t="s">
        <v>714</v>
      </c>
      <c r="I72" s="681" t="s">
        <v>713</v>
      </c>
      <c r="J72" s="680" t="s">
        <v>712</v>
      </c>
      <c r="K72" s="657"/>
      <c r="L72" s="656"/>
      <c r="N72" s="656"/>
      <c r="W72" s="655"/>
      <c r="X72" s="655"/>
      <c r="Y72" s="655"/>
    </row>
    <row r="73" spans="1:25" x14ac:dyDescent="0.2">
      <c r="A73" s="678" t="s">
        <v>711</v>
      </c>
      <c r="B73" s="675">
        <v>11321</v>
      </c>
      <c r="C73" s="675">
        <v>20535</v>
      </c>
      <c r="D73" s="675">
        <v>9201</v>
      </c>
      <c r="E73" s="675">
        <v>8542</v>
      </c>
      <c r="F73" s="675"/>
      <c r="G73" s="675">
        <v>1382.2080000000001</v>
      </c>
      <c r="H73" s="675"/>
      <c r="I73" s="676">
        <f>SUM(B73:H73)</f>
        <v>50981.207999999999</v>
      </c>
      <c r="J73" s="675">
        <f>I73/I95*100</f>
        <v>20.212018882097812</v>
      </c>
      <c r="K73" s="657">
        <f>SUMSQ(J73)</f>
        <v>408.52570729027849</v>
      </c>
      <c r="L73" s="656"/>
      <c r="N73" s="656"/>
      <c r="V73" s="655"/>
      <c r="W73" s="655"/>
      <c r="X73" s="655"/>
      <c r="Y73" s="655"/>
    </row>
    <row r="74" spans="1:25" x14ac:dyDescent="0.2">
      <c r="A74" s="678" t="s">
        <v>710</v>
      </c>
      <c r="B74" s="675"/>
      <c r="C74" s="675">
        <v>24700</v>
      </c>
      <c r="D74" s="675"/>
      <c r="E74" s="675"/>
      <c r="F74" s="675"/>
      <c r="G74" s="675"/>
      <c r="H74" s="675"/>
      <c r="I74" s="676">
        <f>SUM(B74:H74)</f>
        <v>24700</v>
      </c>
      <c r="J74" s="675">
        <f>I74/I95*100</f>
        <v>9.7925664371824208</v>
      </c>
      <c r="K74" s="657">
        <f>SUMSQ(J74)</f>
        <v>95.894357426631615</v>
      </c>
      <c r="L74" s="656"/>
      <c r="N74" s="656"/>
      <c r="V74" s="655"/>
      <c r="W74" s="655"/>
      <c r="X74" s="655"/>
      <c r="Y74" s="655"/>
    </row>
    <row r="75" spans="1:25" x14ac:dyDescent="0.2">
      <c r="A75" s="674" t="s">
        <v>709</v>
      </c>
      <c r="B75" s="662"/>
      <c r="C75" s="662"/>
      <c r="D75" s="662">
        <v>15896.474</v>
      </c>
      <c r="E75" s="679"/>
      <c r="F75" s="662"/>
      <c r="G75" s="662">
        <v>1648.8240000000001</v>
      </c>
      <c r="H75" s="662"/>
      <c r="I75" s="663">
        <f>SUM(B75:H75)</f>
        <v>17545.297999999999</v>
      </c>
      <c r="J75" s="662">
        <f>I75/I95*100</f>
        <v>6.9560119969701963</v>
      </c>
      <c r="K75" s="657">
        <f>SUMSQ(J75)</f>
        <v>48.386102901993297</v>
      </c>
      <c r="L75" s="656"/>
      <c r="N75" s="656"/>
      <c r="V75" s="655"/>
      <c r="W75" s="655"/>
      <c r="X75" s="655"/>
      <c r="Y75" s="655"/>
    </row>
    <row r="76" spans="1:25" x14ac:dyDescent="0.2">
      <c r="A76" s="674" t="s">
        <v>708</v>
      </c>
      <c r="B76" s="662">
        <v>5822</v>
      </c>
      <c r="C76" s="662">
        <v>10481</v>
      </c>
      <c r="D76" s="662"/>
      <c r="E76" s="662"/>
      <c r="F76" s="662"/>
      <c r="G76" s="679"/>
      <c r="H76" s="662"/>
      <c r="I76" s="663">
        <f>SUM(B76:H76)</f>
        <v>16303</v>
      </c>
      <c r="J76" s="662">
        <f>I76/I95*100</f>
        <v>6.4634903087200408</v>
      </c>
      <c r="K76" s="657">
        <f>SUMSQ(J76)</f>
        <v>41.776706970917886</v>
      </c>
      <c r="L76" s="656"/>
      <c r="N76" s="656"/>
      <c r="V76" s="655"/>
      <c r="W76" s="655"/>
      <c r="X76" s="655"/>
      <c r="Y76" s="655"/>
    </row>
    <row r="77" spans="1:25" x14ac:dyDescent="0.2">
      <c r="A77" s="674" t="s">
        <v>707</v>
      </c>
      <c r="B77" s="662"/>
      <c r="C77" s="662">
        <v>13900</v>
      </c>
      <c r="D77" s="662"/>
      <c r="E77" s="662"/>
      <c r="F77" s="662"/>
      <c r="G77" s="662"/>
      <c r="H77" s="662"/>
      <c r="I77" s="663">
        <f>SUM(B77:H77)</f>
        <v>13900</v>
      </c>
      <c r="J77" s="662">
        <f>I77/I95*100</f>
        <v>5.5107964970378811</v>
      </c>
      <c r="K77" s="657">
        <f>SUMSQ(J77)</f>
        <v>30.368878031764982</v>
      </c>
      <c r="L77" s="656"/>
      <c r="N77" s="656"/>
      <c r="V77" s="655"/>
      <c r="W77" s="655"/>
      <c r="X77" s="655"/>
      <c r="Y77" s="655"/>
    </row>
    <row r="78" spans="1:25" x14ac:dyDescent="0.2">
      <c r="A78" s="674" t="s">
        <v>248</v>
      </c>
      <c r="B78" s="662">
        <v>8466.7999999999993</v>
      </c>
      <c r="C78" s="662">
        <v>5140</v>
      </c>
      <c r="D78" s="662"/>
      <c r="E78" s="662"/>
      <c r="F78" s="662"/>
      <c r="G78" s="662"/>
      <c r="H78" s="662"/>
      <c r="I78" s="663">
        <f>SUM(B78:H78)</f>
        <v>13606.8</v>
      </c>
      <c r="J78" s="662">
        <f>I78/I95*100</f>
        <v>5.3945543723665486</v>
      </c>
      <c r="K78" s="657">
        <f>SUMSQ(J78)</f>
        <v>29.101216876419045</v>
      </c>
      <c r="L78" s="656"/>
      <c r="N78" s="656"/>
      <c r="V78" s="655"/>
      <c r="W78" s="655"/>
      <c r="X78" s="655"/>
      <c r="Y78" s="655"/>
    </row>
    <row r="79" spans="1:25" x14ac:dyDescent="0.2">
      <c r="A79" s="674" t="s">
        <v>706</v>
      </c>
      <c r="B79" s="662"/>
      <c r="C79" s="662"/>
      <c r="D79" s="662">
        <v>6202.1699999999992</v>
      </c>
      <c r="E79" s="662">
        <v>4860</v>
      </c>
      <c r="F79" s="662"/>
      <c r="G79" s="662">
        <v>2385.4680000000003</v>
      </c>
      <c r="H79" s="662"/>
      <c r="I79" s="663">
        <f>SUM(B79:H79)</f>
        <v>13447.637999999999</v>
      </c>
      <c r="J79" s="662">
        <f>I79/I95*100</f>
        <v>5.3314529772542079</v>
      </c>
      <c r="K79" s="657">
        <f>SUMSQ(J79)</f>
        <v>28.424390848672758</v>
      </c>
      <c r="L79" s="656"/>
      <c r="N79" s="656"/>
      <c r="V79" s="655"/>
      <c r="W79" s="655"/>
      <c r="X79" s="655"/>
      <c r="Y79" s="655"/>
    </row>
    <row r="80" spans="1:25" x14ac:dyDescent="0.2">
      <c r="A80" s="674" t="s">
        <v>705</v>
      </c>
      <c r="B80" s="662">
        <v>4656.8999999999996</v>
      </c>
      <c r="C80" s="662">
        <v>4953.6000000000004</v>
      </c>
      <c r="D80" s="662"/>
      <c r="E80" s="662"/>
      <c r="F80" s="662"/>
      <c r="G80" s="662"/>
      <c r="H80" s="662"/>
      <c r="I80" s="663">
        <f>SUM(B80:H80)</f>
        <v>9610.5</v>
      </c>
      <c r="J80" s="662">
        <f>I80/I95*100</f>
        <v>3.8101805564591764</v>
      </c>
      <c r="K80" s="657">
        <f>SUMSQ(J80)</f>
        <v>14.51747587281956</v>
      </c>
      <c r="L80" s="656"/>
      <c r="N80" s="656"/>
      <c r="V80" s="655"/>
      <c r="W80" s="655"/>
      <c r="X80" s="655"/>
      <c r="Y80" s="655"/>
    </row>
    <row r="81" spans="1:25" x14ac:dyDescent="0.2">
      <c r="A81" s="674" t="s">
        <v>704</v>
      </c>
      <c r="B81" s="662"/>
      <c r="C81" s="662"/>
      <c r="D81" s="662">
        <v>7240.33</v>
      </c>
      <c r="E81" s="662"/>
      <c r="F81" s="662"/>
      <c r="G81" s="662">
        <v>1688.8440000000001</v>
      </c>
      <c r="H81" s="662"/>
      <c r="I81" s="663">
        <f>SUM(B81:H81)</f>
        <v>8929.1739999999991</v>
      </c>
      <c r="J81" s="662">
        <f>I81/I95*100</f>
        <v>3.5400619281037207</v>
      </c>
      <c r="K81" s="657">
        <f>SUMSQ(J81)</f>
        <v>12.532038454809433</v>
      </c>
      <c r="L81" s="656"/>
      <c r="N81" s="656"/>
      <c r="V81" s="655"/>
      <c r="W81" s="655"/>
      <c r="X81" s="655"/>
      <c r="Y81" s="655"/>
    </row>
    <row r="82" spans="1:25" x14ac:dyDescent="0.2">
      <c r="A82" s="674" t="s">
        <v>703</v>
      </c>
      <c r="B82" s="662"/>
      <c r="C82" s="662"/>
      <c r="D82" s="662">
        <v>5117.68</v>
      </c>
      <c r="E82" s="662"/>
      <c r="F82" s="662"/>
      <c r="G82" s="662">
        <v>2260</v>
      </c>
      <c r="H82" s="662"/>
      <c r="I82" s="663">
        <f>SUM(B82:H82)</f>
        <v>7377.68</v>
      </c>
      <c r="J82" s="662">
        <f>I82/I95*100</f>
        <v>2.9249563381486645</v>
      </c>
      <c r="K82" s="657">
        <f>SUMSQ(J82)</f>
        <v>8.5553695800760448</v>
      </c>
      <c r="L82" s="656"/>
      <c r="N82" s="656"/>
      <c r="V82" s="655"/>
      <c r="W82" s="655"/>
      <c r="X82" s="655"/>
      <c r="Y82" s="655"/>
    </row>
    <row r="83" spans="1:25" x14ac:dyDescent="0.2">
      <c r="A83" s="678" t="s">
        <v>702</v>
      </c>
      <c r="B83" s="675">
        <v>2223.530116583112</v>
      </c>
      <c r="C83" s="675">
        <v>4048</v>
      </c>
      <c r="D83" s="675"/>
      <c r="E83" s="675"/>
      <c r="F83" s="675"/>
      <c r="G83" s="675"/>
      <c r="H83" s="675"/>
      <c r="I83" s="676">
        <f>SUM(B83:H83)</f>
        <v>6271.5301165831115</v>
      </c>
      <c r="J83" s="675">
        <f>I83/I95*100</f>
        <v>2.4864119566571068</v>
      </c>
      <c r="K83" s="657">
        <f>SUMSQ(J83)</f>
        <v>6.1822444182074223</v>
      </c>
      <c r="L83" s="656"/>
      <c r="N83" s="656"/>
      <c r="V83" s="655"/>
      <c r="W83" s="655"/>
      <c r="X83" s="655"/>
      <c r="Y83" s="655"/>
    </row>
    <row r="84" spans="1:25" x14ac:dyDescent="0.2">
      <c r="A84" s="678" t="s">
        <v>701</v>
      </c>
      <c r="B84" s="675">
        <v>2186</v>
      </c>
      <c r="C84" s="675">
        <v>4040</v>
      </c>
      <c r="D84" s="675"/>
      <c r="E84" s="675"/>
      <c r="F84" s="675"/>
      <c r="G84" s="675"/>
      <c r="H84" s="675"/>
      <c r="I84" s="676">
        <f>SUM(B84:H84)</f>
        <v>6226</v>
      </c>
      <c r="J84" s="675">
        <f>I84/I95*100</f>
        <v>2.468361078457399</v>
      </c>
      <c r="K84" s="657">
        <f>SUMSQ(J84)</f>
        <v>6.0928064136433742</v>
      </c>
      <c r="L84" s="656"/>
      <c r="N84" s="656"/>
      <c r="V84" s="655"/>
      <c r="W84" s="655"/>
      <c r="X84" s="655"/>
      <c r="Y84" s="655"/>
    </row>
    <row r="85" spans="1:25" x14ac:dyDescent="0.2">
      <c r="A85" s="678" t="s">
        <v>700</v>
      </c>
      <c r="B85" s="675">
        <v>1342.6</v>
      </c>
      <c r="C85" s="675">
        <v>3149.7</v>
      </c>
      <c r="D85" s="675">
        <v>1485</v>
      </c>
      <c r="E85" s="675"/>
      <c r="F85" s="675"/>
      <c r="G85" s="675"/>
      <c r="H85" s="675"/>
      <c r="I85" s="676">
        <f>SUM(B85:H85)</f>
        <v>5977.2999999999993</v>
      </c>
      <c r="J85" s="675">
        <f>I85/I95*100</f>
        <v>2.3697614317801814</v>
      </c>
      <c r="K85" s="657">
        <f>SUMSQ(J85)</f>
        <v>5.6157692435528554</v>
      </c>
      <c r="L85" s="656"/>
      <c r="N85" s="656"/>
      <c r="V85" s="655"/>
      <c r="W85" s="655"/>
      <c r="X85" s="655"/>
      <c r="Y85" s="655"/>
    </row>
    <row r="86" spans="1:25" x14ac:dyDescent="0.2">
      <c r="A86" s="674" t="s">
        <v>699</v>
      </c>
      <c r="B86" s="662">
        <v>2141.6999999999998</v>
      </c>
      <c r="C86" s="662">
        <v>1647.5</v>
      </c>
      <c r="D86" s="662"/>
      <c r="E86" s="662"/>
      <c r="F86" s="662"/>
      <c r="G86" s="662"/>
      <c r="H86" s="662"/>
      <c r="I86" s="663">
        <f>SUM(B86:H86)</f>
        <v>3789.2</v>
      </c>
      <c r="J86" s="662">
        <f>I86/I95*100</f>
        <v>1.5022669127033048</v>
      </c>
      <c r="K86" s="657">
        <f>SUMSQ(J86)</f>
        <v>2.256805877003119</v>
      </c>
      <c r="L86" s="656"/>
      <c r="N86" s="656"/>
      <c r="V86" s="655"/>
      <c r="W86" s="655"/>
      <c r="X86" s="655"/>
      <c r="Y86" s="655"/>
    </row>
    <row r="87" spans="1:25" x14ac:dyDescent="0.2">
      <c r="A87" s="674" t="s">
        <v>698</v>
      </c>
      <c r="B87" s="662"/>
      <c r="C87" s="662"/>
      <c r="D87" s="662">
        <v>2069</v>
      </c>
      <c r="E87" s="662">
        <v>2696</v>
      </c>
      <c r="F87" s="662"/>
      <c r="G87" s="662"/>
      <c r="H87" s="662"/>
      <c r="I87" s="663">
        <f>SUM(B87:H87)</f>
        <v>4765</v>
      </c>
      <c r="J87" s="662">
        <f>I87/I95*100</f>
        <v>1.8891327559989568</v>
      </c>
      <c r="K87" s="657">
        <f>SUMSQ(J87)</f>
        <v>3.5688225697882139</v>
      </c>
      <c r="L87" s="656"/>
      <c r="N87" s="656"/>
      <c r="V87" s="655"/>
      <c r="W87" s="655"/>
      <c r="X87" s="655"/>
      <c r="Y87" s="655"/>
    </row>
    <row r="88" spans="1:25" x14ac:dyDescent="0.2">
      <c r="A88" s="674" t="s">
        <v>697</v>
      </c>
      <c r="B88" s="662">
        <v>1292.0715</v>
      </c>
      <c r="C88" s="662">
        <v>2353.5</v>
      </c>
      <c r="D88" s="662"/>
      <c r="E88" s="662"/>
      <c r="F88" s="662"/>
      <c r="G88" s="662"/>
      <c r="H88" s="662"/>
      <c r="I88" s="663">
        <f>SUM(B88:H88)</f>
        <v>3645.5715</v>
      </c>
      <c r="J88" s="662">
        <f>I88/I95*100</f>
        <v>1.4453239317914484</v>
      </c>
      <c r="K88" s="657">
        <f>SUMSQ(J88)</f>
        <v>2.0889612678090912</v>
      </c>
      <c r="L88" s="656"/>
      <c r="N88" s="656"/>
      <c r="V88" s="655"/>
      <c r="W88" s="655"/>
      <c r="X88" s="655"/>
      <c r="Y88" s="655"/>
    </row>
    <row r="89" spans="1:25" x14ac:dyDescent="0.2">
      <c r="A89" s="678" t="s">
        <v>696</v>
      </c>
      <c r="B89" s="675"/>
      <c r="C89" s="675"/>
      <c r="D89" s="675">
        <v>1297.7</v>
      </c>
      <c r="E89" s="675"/>
      <c r="F89" s="675"/>
      <c r="G89" s="677"/>
      <c r="H89" s="675">
        <v>2678.875</v>
      </c>
      <c r="I89" s="676">
        <f>SUM(B89:H89)</f>
        <v>3976.5749999999998</v>
      </c>
      <c r="J89" s="675">
        <f>I89/I95*100</f>
        <v>1.5765536388639145</v>
      </c>
      <c r="K89" s="657">
        <f>SUMSQ(J89)</f>
        <v>2.4855213762150501</v>
      </c>
      <c r="L89" s="656"/>
      <c r="N89" s="656"/>
      <c r="V89" s="655"/>
      <c r="W89" s="655"/>
      <c r="X89" s="655"/>
      <c r="Y89" s="655"/>
    </row>
    <row r="90" spans="1:25" x14ac:dyDescent="0.2">
      <c r="A90" s="674" t="s">
        <v>695</v>
      </c>
      <c r="B90" s="662"/>
      <c r="C90" s="662"/>
      <c r="D90" s="662">
        <v>3061</v>
      </c>
      <c r="E90" s="662"/>
      <c r="F90" s="662"/>
      <c r="G90" s="662"/>
      <c r="H90" s="662"/>
      <c r="I90" s="663">
        <f>SUM(B90:H90)</f>
        <v>3061</v>
      </c>
      <c r="J90" s="662">
        <f>I90/I95*100</f>
        <v>1.2135646098872628</v>
      </c>
      <c r="K90" s="657">
        <f>SUMSQ(J90)</f>
        <v>1.4727390623708243</v>
      </c>
      <c r="L90" s="656"/>
      <c r="N90" s="656"/>
      <c r="V90" s="655"/>
      <c r="W90" s="655"/>
      <c r="X90" s="655"/>
      <c r="Y90" s="655"/>
    </row>
    <row r="91" spans="1:25" x14ac:dyDescent="0.2">
      <c r="A91" s="673" t="s">
        <v>694</v>
      </c>
      <c r="B91" s="671"/>
      <c r="C91" s="671"/>
      <c r="D91" s="671"/>
      <c r="E91" s="671"/>
      <c r="F91" s="671">
        <v>2751.4</v>
      </c>
      <c r="G91" s="671"/>
      <c r="H91" s="671"/>
      <c r="I91" s="672">
        <f>SUM(B91:H91)</f>
        <v>2751.4</v>
      </c>
      <c r="J91" s="671">
        <f>I91/I95*100</f>
        <v>1.090820538269786</v>
      </c>
      <c r="K91" s="657">
        <f>SUMSQ(J91)</f>
        <v>1.1898894467111856</v>
      </c>
      <c r="L91" s="656"/>
      <c r="N91" s="656"/>
      <c r="V91" s="655"/>
      <c r="W91" s="655"/>
      <c r="X91" s="655"/>
      <c r="Y91" s="655"/>
    </row>
    <row r="92" spans="1:25" x14ac:dyDescent="0.2">
      <c r="A92" s="674" t="s">
        <v>693</v>
      </c>
      <c r="B92" s="662"/>
      <c r="C92" s="662"/>
      <c r="D92" s="662">
        <v>2452.5</v>
      </c>
      <c r="E92" s="662"/>
      <c r="F92" s="662"/>
      <c r="G92" s="662"/>
      <c r="H92" s="662"/>
      <c r="I92" s="663">
        <f>SUM(B92:H92)</f>
        <v>2452.5</v>
      </c>
      <c r="J92" s="662">
        <f>I92/I95*100</f>
        <v>0.97231859057448944</v>
      </c>
      <c r="K92" s="657">
        <f>SUMSQ(J92)</f>
        <v>0.94540344157676159</v>
      </c>
      <c r="L92" s="656"/>
      <c r="N92" s="656"/>
      <c r="V92" s="655"/>
      <c r="W92" s="655"/>
      <c r="X92" s="655"/>
      <c r="Y92" s="655"/>
    </row>
    <row r="93" spans="1:25" x14ac:dyDescent="0.2">
      <c r="A93" s="673" t="s">
        <v>692</v>
      </c>
      <c r="B93" s="671"/>
      <c r="C93" s="671"/>
      <c r="D93" s="671"/>
      <c r="E93" s="671">
        <v>1363.1</v>
      </c>
      <c r="F93" s="671"/>
      <c r="G93" s="671"/>
      <c r="H93" s="671"/>
      <c r="I93" s="672">
        <f>SUM(B93:H93)</f>
        <v>1363.1</v>
      </c>
      <c r="J93" s="671">
        <f>I93/I95*100</f>
        <v>0.54041487087139095</v>
      </c>
      <c r="K93" s="657">
        <f>SUMSQ(J93)</f>
        <v>0.29204823265894214</v>
      </c>
      <c r="L93" s="656"/>
      <c r="N93" s="656"/>
      <c r="V93" s="655"/>
      <c r="W93" s="655"/>
      <c r="X93" s="655"/>
      <c r="Y93" s="655"/>
    </row>
    <row r="94" spans="1:25" x14ac:dyDescent="0.2">
      <c r="A94" s="673"/>
      <c r="B94" s="671"/>
      <c r="C94" s="671"/>
      <c r="D94" s="671"/>
      <c r="E94" s="671"/>
      <c r="F94" s="671"/>
      <c r="G94" s="671"/>
      <c r="H94" s="671"/>
      <c r="I94" s="672"/>
      <c r="J94" s="671"/>
      <c r="K94" s="657">
        <f>SUM(K73:K93)</f>
        <v>750.27325560391989</v>
      </c>
      <c r="L94" s="656"/>
      <c r="N94" s="656"/>
      <c r="V94" s="655"/>
      <c r="W94" s="655"/>
      <c r="X94" s="655"/>
      <c r="Y94" s="655"/>
    </row>
    <row r="95" spans="1:25" x14ac:dyDescent="0.2">
      <c r="A95" s="670" t="s">
        <v>691</v>
      </c>
      <c r="B95" s="669">
        <v>61493.7</v>
      </c>
      <c r="C95" s="667">
        <v>103926.69999999998</v>
      </c>
      <c r="D95" s="669">
        <v>47297.04116999999</v>
      </c>
      <c r="E95" s="667">
        <v>24169</v>
      </c>
      <c r="F95" s="667">
        <v>5445.7</v>
      </c>
      <c r="G95" s="667">
        <v>9900</v>
      </c>
      <c r="H95" s="669"/>
      <c r="I95" s="668">
        <f>SUM(B95:H95)</f>
        <v>252232.14116999996</v>
      </c>
      <c r="K95" s="657"/>
      <c r="L95" s="656"/>
      <c r="N95" s="656"/>
      <c r="V95" s="655"/>
      <c r="W95" s="655"/>
      <c r="X95" s="655"/>
      <c r="Y95" s="655"/>
    </row>
    <row r="96" spans="1:25" x14ac:dyDescent="0.2">
      <c r="A96" s="666" t="s">
        <v>690</v>
      </c>
      <c r="B96" s="663"/>
      <c r="C96" s="663"/>
      <c r="D96" s="663"/>
      <c r="E96" s="663"/>
      <c r="F96" s="663"/>
      <c r="G96" s="663"/>
      <c r="H96" s="663"/>
      <c r="I96" s="663"/>
      <c r="J96" s="667">
        <f>J73+J74+J75+J76</f>
        <v>43.424087624970468</v>
      </c>
      <c r="K96" s="657"/>
      <c r="L96" s="656"/>
      <c r="N96" s="656"/>
      <c r="W96" s="655"/>
      <c r="X96" s="655"/>
      <c r="Y96" s="655"/>
    </row>
    <row r="97" spans="1:25" x14ac:dyDescent="0.2">
      <c r="A97" s="666" t="s">
        <v>689</v>
      </c>
      <c r="B97" s="665"/>
      <c r="C97" s="664"/>
      <c r="D97" s="663"/>
      <c r="E97" s="664"/>
      <c r="F97" s="663"/>
      <c r="G97" s="663"/>
      <c r="H97" s="663"/>
      <c r="I97" s="663"/>
      <c r="J97" s="662">
        <v>750.27325560391989</v>
      </c>
      <c r="K97" s="657"/>
      <c r="L97" s="656"/>
      <c r="N97" s="656"/>
      <c r="W97" s="655"/>
      <c r="X97" s="655"/>
      <c r="Y97" s="655"/>
    </row>
    <row r="98" spans="1:25" ht="39" thickBot="1" x14ac:dyDescent="0.25">
      <c r="A98" s="661" t="s">
        <v>688</v>
      </c>
      <c r="B98" s="660"/>
      <c r="C98" s="660"/>
      <c r="D98" s="660"/>
      <c r="E98" s="660"/>
      <c r="F98" s="660"/>
      <c r="G98" s="660"/>
      <c r="H98" s="660"/>
      <c r="I98" s="659"/>
      <c r="J98" s="658">
        <f>J73+J74+J83+J84</f>
        <v>34.959358354394737</v>
      </c>
      <c r="K98" s="657"/>
      <c r="L98" s="656"/>
      <c r="N98" s="656"/>
      <c r="W98" s="655"/>
      <c r="X98" s="655"/>
      <c r="Y98" s="655"/>
    </row>
  </sheetData>
  <mergeCells count="5">
    <mergeCell ref="A1:L1"/>
    <mergeCell ref="A34:M34"/>
    <mergeCell ref="A37:IV37"/>
    <mergeCell ref="A71:L71"/>
    <mergeCell ref="Q11:T20"/>
  </mergeCells>
  <pageMargins left="0.75" right="0.75" top="1" bottom="1" header="0.5" footer="0.5"/>
  <pageSetup orientation="portrait" horizontalDpi="4294967292" verticalDpi="4294967292"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30"/>
  <sheetViews>
    <sheetView workbookViewId="0">
      <pane xSplit="1" topLeftCell="H1" activePane="topRight" state="frozen"/>
      <selection pane="topRight" activeCell="Q26" sqref="Q26"/>
    </sheetView>
  </sheetViews>
  <sheetFormatPr defaultColWidth="17.25" defaultRowHeight="15" customHeight="1" x14ac:dyDescent="0.2"/>
  <cols>
    <col min="1" max="1" width="25" customWidth="1"/>
    <col min="2" max="2" width="11.625" customWidth="1"/>
    <col min="3" max="3" width="9.875" customWidth="1"/>
    <col min="4" max="4" width="10.625" customWidth="1"/>
    <col min="5" max="5" width="9.375" customWidth="1"/>
    <col min="6" max="6" width="9.875" customWidth="1"/>
    <col min="7" max="7" width="13.375" customWidth="1"/>
    <col min="8" max="8" width="11.25" customWidth="1"/>
    <col min="9" max="9" width="12.25" customWidth="1"/>
    <col min="10" max="10" width="12.375" customWidth="1"/>
    <col min="11" max="11" width="14.625" customWidth="1"/>
    <col min="12" max="12" width="12.125" customWidth="1"/>
    <col min="13" max="22" width="10.75" customWidth="1"/>
  </cols>
  <sheetData>
    <row r="1" spans="1:22" ht="18" customHeight="1" x14ac:dyDescent="0.25">
      <c r="A1" s="91" t="s">
        <v>104</v>
      </c>
      <c r="B1" s="91"/>
      <c r="C1" s="91"/>
      <c r="D1" s="91"/>
      <c r="E1" s="91"/>
      <c r="F1" s="91"/>
      <c r="G1" s="91"/>
      <c r="H1" s="91"/>
      <c r="I1" s="91"/>
      <c r="J1" s="91"/>
      <c r="K1" s="91"/>
      <c r="L1" s="91"/>
      <c r="M1" s="91"/>
      <c r="N1" s="7"/>
      <c r="O1" s="7"/>
      <c r="P1" s="7"/>
      <c r="Q1" s="7"/>
      <c r="R1" s="7"/>
      <c r="S1" s="7"/>
      <c r="T1" s="7"/>
      <c r="U1" s="7"/>
      <c r="V1" s="7"/>
    </row>
    <row r="2" spans="1:22" ht="15.75" customHeight="1" x14ac:dyDescent="0.25">
      <c r="A2" s="93"/>
      <c r="B2" s="93">
        <v>1984</v>
      </c>
      <c r="C2" s="93">
        <v>1988</v>
      </c>
      <c r="D2" s="93">
        <v>1992</v>
      </c>
      <c r="E2" s="93">
        <v>1996</v>
      </c>
      <c r="F2" s="93">
        <v>2000</v>
      </c>
      <c r="G2" s="93">
        <v>2004</v>
      </c>
      <c r="H2" s="93">
        <v>2008</v>
      </c>
      <c r="I2" s="93">
        <v>2010</v>
      </c>
      <c r="J2" s="93">
        <v>2011</v>
      </c>
      <c r="K2" s="93">
        <v>2012</v>
      </c>
      <c r="L2" s="93">
        <v>2013</v>
      </c>
      <c r="M2" s="93">
        <v>2014</v>
      </c>
      <c r="N2" s="10"/>
      <c r="O2" s="10"/>
      <c r="P2" s="10"/>
      <c r="Q2" s="10"/>
      <c r="R2" s="10"/>
      <c r="S2" s="10"/>
      <c r="T2" s="10"/>
      <c r="U2" s="10"/>
      <c r="V2" s="10"/>
    </row>
    <row r="3" spans="1:22" ht="15.75" customHeight="1" x14ac:dyDescent="0.25">
      <c r="A3" s="94" t="s">
        <v>111</v>
      </c>
      <c r="B3" s="210">
        <v>12787</v>
      </c>
      <c r="C3" s="210">
        <v>14007</v>
      </c>
      <c r="D3" s="210">
        <v>14700</v>
      </c>
      <c r="E3" s="210">
        <v>17900</v>
      </c>
      <c r="F3" s="210">
        <v>21200</v>
      </c>
      <c r="G3" s="210">
        <v>19800</v>
      </c>
      <c r="H3" s="210">
        <v>18000</v>
      </c>
      <c r="I3" s="210">
        <v>16900</v>
      </c>
      <c r="J3" s="212">
        <v>16400</v>
      </c>
      <c r="K3" s="215">
        <v>15900</v>
      </c>
      <c r="L3" s="210">
        <v>15600</v>
      </c>
      <c r="M3" s="248">
        <f>('Wireline (RV) '!M36)</f>
        <v>15000</v>
      </c>
      <c r="N3" s="25"/>
      <c r="O3" s="24"/>
      <c r="P3" s="24"/>
      <c r="Q3" s="24"/>
      <c r="R3" s="40"/>
      <c r="S3" s="25"/>
      <c r="T3" s="24"/>
      <c r="U3" s="251"/>
      <c r="V3" s="25"/>
    </row>
    <row r="4" spans="1:22" ht="15.75" customHeight="1" x14ac:dyDescent="0.25">
      <c r="A4" s="94" t="s">
        <v>102</v>
      </c>
      <c r="B4" s="212">
        <v>321</v>
      </c>
      <c r="C4" s="212">
        <v>565.20000000000005</v>
      </c>
      <c r="D4" s="212">
        <v>931</v>
      </c>
      <c r="E4" s="212">
        <v>2175</v>
      </c>
      <c r="F4" s="212">
        <v>5400</v>
      </c>
      <c r="G4" s="212">
        <v>9200</v>
      </c>
      <c r="H4" s="212">
        <v>16200</v>
      </c>
      <c r="I4" s="212">
        <v>18000</v>
      </c>
      <c r="J4" s="212">
        <v>19300</v>
      </c>
      <c r="K4" s="210">
        <v>20316.599999999999</v>
      </c>
      <c r="L4" s="215">
        <v>21200</v>
      </c>
      <c r="M4" s="248">
        <f>('Wireless (RV)'!M21)</f>
        <v>22000</v>
      </c>
      <c r="N4" s="25"/>
      <c r="O4" s="21"/>
      <c r="P4" s="21"/>
      <c r="Q4" s="25"/>
      <c r="R4" s="25"/>
      <c r="S4" s="24"/>
      <c r="T4" s="25"/>
      <c r="U4" s="251"/>
      <c r="V4" s="25"/>
    </row>
    <row r="5" spans="1:22" ht="15.75" customHeight="1" x14ac:dyDescent="0.25">
      <c r="A5" s="215" t="s">
        <v>146</v>
      </c>
      <c r="B5" s="215"/>
      <c r="C5" s="215"/>
      <c r="D5" s="215"/>
      <c r="E5" s="215">
        <v>239</v>
      </c>
      <c r="F5" s="280">
        <v>1800</v>
      </c>
      <c r="G5" s="280">
        <v>4200</v>
      </c>
      <c r="H5" s="280">
        <v>6200</v>
      </c>
      <c r="I5" s="215">
        <v>6800</v>
      </c>
      <c r="J5" s="215">
        <v>7200</v>
      </c>
      <c r="K5" s="210">
        <v>7625</v>
      </c>
      <c r="L5" s="215">
        <v>8100</v>
      </c>
      <c r="M5" s="248">
        <f>('ISPs (RV)'!J41)</f>
        <v>8900</v>
      </c>
      <c r="N5" s="25"/>
      <c r="O5" s="25"/>
      <c r="P5" s="21"/>
      <c r="Q5" s="185"/>
      <c r="R5" s="185"/>
      <c r="S5" s="185"/>
      <c r="T5" s="185"/>
      <c r="U5" s="251"/>
      <c r="V5" s="25"/>
    </row>
    <row r="6" spans="1:22" ht="15.75" customHeight="1" x14ac:dyDescent="0.25">
      <c r="A6" s="215" t="s">
        <v>357</v>
      </c>
      <c r="B6" s="215">
        <v>716.3</v>
      </c>
      <c r="C6" s="215">
        <v>1242.9000000000001</v>
      </c>
      <c r="D6" s="215">
        <v>1651.4</v>
      </c>
      <c r="E6" s="215">
        <v>2677.4</v>
      </c>
      <c r="F6" s="280">
        <v>4218.5</v>
      </c>
      <c r="G6" s="215">
        <v>5039.3999999999996</v>
      </c>
      <c r="H6" s="280">
        <v>6953.5</v>
      </c>
      <c r="I6" s="105">
        <v>7995.3</v>
      </c>
      <c r="J6" s="105">
        <v>8459.1</v>
      </c>
      <c r="K6" s="105">
        <v>8560.7999999999993</v>
      </c>
      <c r="L6" s="105">
        <v>8793.9</v>
      </c>
      <c r="M6" s="248">
        <f>('CableSatIPTV (RV)'!M47)</f>
        <v>8922.4</v>
      </c>
      <c r="N6" s="25"/>
      <c r="O6" s="715" t="s">
        <v>742</v>
      </c>
      <c r="P6" s="623"/>
      <c r="Q6" s="623"/>
      <c r="R6" s="623"/>
      <c r="S6" s="623"/>
      <c r="T6" s="25"/>
      <c r="U6" s="25"/>
      <c r="V6" s="25"/>
    </row>
    <row r="7" spans="1:22" ht="15.75" customHeight="1" x14ac:dyDescent="0.25">
      <c r="A7" s="285" t="s">
        <v>216</v>
      </c>
      <c r="B7" s="210">
        <v>1837.8150000000001</v>
      </c>
      <c r="C7" s="210">
        <v>2349.5830000000001</v>
      </c>
      <c r="D7" s="210">
        <v>2920.3240000000005</v>
      </c>
      <c r="E7" s="210">
        <v>3366.7040000000002</v>
      </c>
      <c r="F7" s="210">
        <v>4353.93</v>
      </c>
      <c r="G7" s="210">
        <v>5297.4930000000004</v>
      </c>
      <c r="H7" s="210">
        <v>6321.8580000000002</v>
      </c>
      <c r="I7" s="210">
        <v>6889.9840000000004</v>
      </c>
      <c r="J7" s="210">
        <v>7249.826</v>
      </c>
      <c r="K7" s="215">
        <v>7387.4580000000005</v>
      </c>
      <c r="L7" s="210">
        <v>7281.8940000000002</v>
      </c>
      <c r="M7" s="248">
        <f>('Total TV Universe (RV)'!O48)</f>
        <v>7275.6</v>
      </c>
      <c r="N7" s="25"/>
      <c r="O7" s="623"/>
      <c r="P7" s="623"/>
      <c r="Q7" s="623"/>
      <c r="R7" s="623"/>
      <c r="S7" s="623"/>
      <c r="V7" s="21"/>
    </row>
    <row r="8" spans="1:22" ht="15.75" customHeight="1" x14ac:dyDescent="0.25">
      <c r="A8" s="215" t="s">
        <v>99</v>
      </c>
      <c r="B8" s="215">
        <v>810.90000000000009</v>
      </c>
      <c r="C8" s="215">
        <v>999.60699999999997</v>
      </c>
      <c r="D8" s="215">
        <v>1038.1389999999999</v>
      </c>
      <c r="E8" s="215">
        <v>1099.046</v>
      </c>
      <c r="F8" s="215">
        <v>1330.944</v>
      </c>
      <c r="G8" s="215">
        <v>1583.0429999999999</v>
      </c>
      <c r="H8" s="215">
        <v>1969.528</v>
      </c>
      <c r="I8" s="215">
        <v>1992.2049999999999</v>
      </c>
      <c r="J8" s="215">
        <v>2025.6120000000001</v>
      </c>
      <c r="K8" s="215">
        <v>2017.94</v>
      </c>
      <c r="L8" s="215">
        <v>1998.7830000000001</v>
      </c>
      <c r="M8" s="248">
        <f>('Radio (RV)'!M30)</f>
        <v>1902.7</v>
      </c>
      <c r="N8" s="25"/>
      <c r="O8" s="623"/>
      <c r="P8" s="623"/>
      <c r="Q8" s="623"/>
      <c r="R8" s="623"/>
      <c r="S8" s="623"/>
      <c r="T8" s="25"/>
      <c r="U8" s="25"/>
      <c r="V8" s="25"/>
    </row>
    <row r="9" spans="1:22" ht="15.75" customHeight="1" x14ac:dyDescent="0.25">
      <c r="A9" s="94" t="s">
        <v>494</v>
      </c>
      <c r="B9" s="210">
        <v>2190</v>
      </c>
      <c r="C9" s="210">
        <v>2925</v>
      </c>
      <c r="D9" s="210">
        <v>2790</v>
      </c>
      <c r="E9" s="210">
        <v>3310</v>
      </c>
      <c r="F9" s="210">
        <v>4668.6000000000004</v>
      </c>
      <c r="G9" s="210">
        <v>5033.8999999999996</v>
      </c>
      <c r="H9" s="210">
        <v>5434.3</v>
      </c>
      <c r="I9" s="210">
        <v>4943.1000000000004</v>
      </c>
      <c r="J9" s="210">
        <v>4831.8</v>
      </c>
      <c r="K9" s="215">
        <v>4720.5</v>
      </c>
      <c r="L9" s="285">
        <v>4315.5354713425568</v>
      </c>
      <c r="M9" s="310">
        <v>3662.9057889999999</v>
      </c>
      <c r="N9" s="25"/>
      <c r="O9" s="623"/>
      <c r="P9" s="623"/>
      <c r="Q9" s="623"/>
      <c r="R9" s="623"/>
      <c r="S9" s="623"/>
      <c r="T9" s="25"/>
      <c r="U9" s="25"/>
      <c r="V9" s="25"/>
    </row>
    <row r="10" spans="1:22" ht="15.75" customHeight="1" x14ac:dyDescent="0.25">
      <c r="A10" s="215" t="s">
        <v>546</v>
      </c>
      <c r="B10" s="215">
        <v>771</v>
      </c>
      <c r="C10" s="215">
        <v>775</v>
      </c>
      <c r="D10" s="215">
        <v>993.9</v>
      </c>
      <c r="E10" s="215">
        <v>1011.2</v>
      </c>
      <c r="F10" s="215">
        <v>1300</v>
      </c>
      <c r="G10" s="215">
        <v>1847.1</v>
      </c>
      <c r="H10" s="215">
        <v>2394</v>
      </c>
      <c r="I10" s="215">
        <v>2135</v>
      </c>
      <c r="J10" s="312">
        <v>2088</v>
      </c>
      <c r="K10" s="312">
        <f>(J10+L10)/2</f>
        <v>1979.45</v>
      </c>
      <c r="L10" s="315">
        <v>1870.9</v>
      </c>
      <c r="M10" s="316">
        <v>1853.1</v>
      </c>
      <c r="N10" s="25"/>
      <c r="O10" s="623"/>
      <c r="P10" s="623"/>
      <c r="Q10" s="623"/>
      <c r="R10" s="623"/>
      <c r="S10" s="623"/>
      <c r="T10" s="25"/>
      <c r="U10" s="25"/>
      <c r="V10" s="25"/>
    </row>
    <row r="11" spans="1:22" ht="15.75" customHeight="1" x14ac:dyDescent="0.25">
      <c r="A11" s="215" t="s">
        <v>548</v>
      </c>
      <c r="B11" s="215"/>
      <c r="C11" s="215"/>
      <c r="D11" s="215"/>
      <c r="E11" s="215"/>
      <c r="F11" s="280">
        <v>141.4</v>
      </c>
      <c r="G11" s="215">
        <v>364</v>
      </c>
      <c r="H11" s="280">
        <v>1609</v>
      </c>
      <c r="I11" s="280">
        <v>2279</v>
      </c>
      <c r="J11" s="215">
        <v>2674</v>
      </c>
      <c r="K11" s="280">
        <v>3085</v>
      </c>
      <c r="L11" s="215">
        <v>3525</v>
      </c>
      <c r="M11" s="336">
        <v>3793</v>
      </c>
      <c r="N11" s="28"/>
      <c r="O11" s="623"/>
      <c r="P11" s="623"/>
      <c r="Q11" s="623"/>
      <c r="R11" s="623"/>
      <c r="S11" s="623"/>
      <c r="T11" s="25"/>
      <c r="U11" s="25"/>
      <c r="V11" s="25"/>
    </row>
    <row r="12" spans="1:22" ht="15.75" customHeight="1" x14ac:dyDescent="0.25">
      <c r="A12" s="215" t="s">
        <v>559</v>
      </c>
      <c r="B12" s="215"/>
      <c r="C12" s="215"/>
      <c r="D12" s="215"/>
      <c r="E12" s="215"/>
      <c r="F12" s="105">
        <v>1930.6</v>
      </c>
      <c r="G12" s="105">
        <v>1882.9</v>
      </c>
      <c r="H12" s="105">
        <v>1790.4</v>
      </c>
      <c r="I12" s="105">
        <v>1777.3</v>
      </c>
      <c r="J12" s="105">
        <v>1769.8</v>
      </c>
      <c r="K12" s="105">
        <v>1823.1</v>
      </c>
      <c r="L12" s="105">
        <v>1872</v>
      </c>
      <c r="M12" s="105">
        <v>1929.78</v>
      </c>
      <c r="N12" s="25"/>
      <c r="O12" s="623"/>
      <c r="P12" s="623"/>
      <c r="Q12" s="623"/>
      <c r="R12" s="623"/>
      <c r="S12" s="623"/>
      <c r="T12" s="25"/>
      <c r="U12" s="25"/>
      <c r="V12" s="25"/>
    </row>
    <row r="13" spans="1:22" ht="15.75" customHeight="1" x14ac:dyDescent="0.25">
      <c r="A13" s="215" t="s">
        <v>472</v>
      </c>
      <c r="B13" s="215">
        <v>19434.014999999999</v>
      </c>
      <c r="C13" s="215">
        <v>22864.29</v>
      </c>
      <c r="D13" s="215">
        <v>25024.763000000003</v>
      </c>
      <c r="E13" s="215">
        <f t="shared" ref="E13:M13" si="0">SUM(E3:E12)</f>
        <v>31778.350000000002</v>
      </c>
      <c r="F13" s="215">
        <f t="shared" si="0"/>
        <v>46343.974000000002</v>
      </c>
      <c r="G13" s="215">
        <f t="shared" si="0"/>
        <v>54247.836000000003</v>
      </c>
      <c r="H13" s="215">
        <f t="shared" si="0"/>
        <v>66872.585999999996</v>
      </c>
      <c r="I13" s="215">
        <f t="shared" si="0"/>
        <v>69711.88900000001</v>
      </c>
      <c r="J13" s="215">
        <f t="shared" si="0"/>
        <v>71998.138000000006</v>
      </c>
      <c r="K13" s="215">
        <f t="shared" si="0"/>
        <v>73415.847999999998</v>
      </c>
      <c r="L13" s="215">
        <f t="shared" si="0"/>
        <v>74558.012471342561</v>
      </c>
      <c r="M13" s="248">
        <f t="shared" si="0"/>
        <v>75239.485788999998</v>
      </c>
      <c r="N13" s="25"/>
      <c r="O13" s="623"/>
      <c r="P13" s="623"/>
      <c r="Q13" s="623"/>
      <c r="R13" s="623"/>
      <c r="S13" s="623"/>
      <c r="T13" s="25"/>
      <c r="U13" s="25"/>
      <c r="V13" s="25"/>
    </row>
    <row r="14" spans="1:22" ht="15.75" customHeight="1" x14ac:dyDescent="0.25">
      <c r="A14" s="215"/>
      <c r="B14" s="339"/>
      <c r="C14" s="339"/>
      <c r="D14" s="339"/>
      <c r="E14" s="339"/>
      <c r="F14" s="339"/>
      <c r="G14" s="339"/>
      <c r="H14" s="339"/>
      <c r="I14" s="339"/>
      <c r="J14" s="344"/>
      <c r="K14" s="349"/>
      <c r="L14" s="350"/>
      <c r="M14" s="215"/>
      <c r="N14" s="25"/>
      <c r="O14" s="623"/>
      <c r="P14" s="623"/>
      <c r="Q14" s="623"/>
      <c r="R14" s="623"/>
      <c r="S14" s="623"/>
      <c r="T14" s="25"/>
      <c r="U14" s="25"/>
      <c r="V14" s="25"/>
    </row>
    <row r="15" spans="1:22" ht="15.75" customHeight="1" x14ac:dyDescent="0.25">
      <c r="A15" s="352" t="s">
        <v>571</v>
      </c>
      <c r="B15" s="353">
        <v>2.0796999999999999</v>
      </c>
      <c r="C15" s="353">
        <v>1.7734000000000001</v>
      </c>
      <c r="D15" s="353">
        <v>1.4958</v>
      </c>
      <c r="E15" s="353">
        <v>1.4115</v>
      </c>
      <c r="F15" s="353">
        <v>1.3249</v>
      </c>
      <c r="G15" s="352">
        <v>1.1719999999999999</v>
      </c>
      <c r="H15" s="352">
        <v>1.0629999999999999</v>
      </c>
      <c r="I15" s="353">
        <v>1.0792999999999999</v>
      </c>
      <c r="J15" s="353">
        <v>1.0450999999999999</v>
      </c>
      <c r="K15" s="353">
        <v>1.0245</v>
      </c>
      <c r="L15" s="353">
        <v>1.0204</v>
      </c>
      <c r="M15" s="353">
        <v>1</v>
      </c>
      <c r="N15" s="354"/>
      <c r="O15" s="623"/>
      <c r="P15" s="623"/>
      <c r="Q15" s="623"/>
      <c r="R15" s="623"/>
      <c r="S15" s="623"/>
      <c r="T15" s="354"/>
      <c r="U15" s="354"/>
      <c r="V15" s="354"/>
    </row>
    <row r="16" spans="1:22" ht="15.75" customHeight="1" x14ac:dyDescent="0.25">
      <c r="A16" s="215"/>
      <c r="B16" s="215"/>
      <c r="C16" s="215"/>
      <c r="D16" s="215"/>
      <c r="E16" s="215"/>
      <c r="F16" s="215"/>
      <c r="G16" s="215"/>
      <c r="H16" s="215"/>
      <c r="I16" s="215"/>
      <c r="J16" s="215"/>
      <c r="K16" s="215"/>
      <c r="L16" s="215"/>
      <c r="M16" s="215"/>
      <c r="N16" s="25"/>
      <c r="O16" s="623"/>
      <c r="P16" s="623"/>
      <c r="Q16" s="623"/>
      <c r="R16" s="623"/>
      <c r="S16" s="623"/>
      <c r="T16" s="25"/>
      <c r="U16" s="25"/>
      <c r="V16" s="25"/>
    </row>
    <row r="17" spans="1:22" ht="18" customHeight="1" x14ac:dyDescent="0.25">
      <c r="A17" s="355" t="s">
        <v>573</v>
      </c>
      <c r="B17" s="91"/>
      <c r="C17" s="91"/>
      <c r="D17" s="91"/>
      <c r="E17" s="91"/>
      <c r="F17" s="91"/>
      <c r="G17" s="91"/>
      <c r="H17" s="91"/>
      <c r="I17" s="91"/>
      <c r="J17" s="91"/>
      <c r="K17" s="91"/>
      <c r="L17" s="91"/>
      <c r="M17" s="91"/>
      <c r="N17" s="7"/>
      <c r="O17" s="623"/>
      <c r="P17" s="623"/>
      <c r="Q17" s="623"/>
      <c r="R17" s="623"/>
      <c r="S17" s="623"/>
      <c r="T17" s="7"/>
      <c r="U17" s="7"/>
      <c r="V17" s="7"/>
    </row>
    <row r="18" spans="1:22" ht="15.75" customHeight="1" x14ac:dyDescent="0.25">
      <c r="A18" s="93"/>
      <c r="B18" s="93">
        <v>1984</v>
      </c>
      <c r="C18" s="93">
        <v>1988</v>
      </c>
      <c r="D18" s="93">
        <v>1992</v>
      </c>
      <c r="E18" s="93">
        <v>1996</v>
      </c>
      <c r="F18" s="93">
        <v>2000</v>
      </c>
      <c r="G18" s="93">
        <v>2004</v>
      </c>
      <c r="H18" s="93">
        <v>2008</v>
      </c>
      <c r="I18" s="93">
        <v>2010</v>
      </c>
      <c r="J18" s="93">
        <v>2011</v>
      </c>
      <c r="K18" s="93">
        <v>2012</v>
      </c>
      <c r="L18" s="93">
        <v>2013</v>
      </c>
      <c r="M18" s="93">
        <v>2014</v>
      </c>
      <c r="N18" s="10"/>
      <c r="O18" s="10"/>
      <c r="P18" s="10"/>
      <c r="Q18" s="10"/>
      <c r="R18" s="10"/>
      <c r="S18" s="10"/>
      <c r="T18" s="10"/>
      <c r="U18" s="10"/>
      <c r="V18" s="10"/>
    </row>
    <row r="19" spans="1:22" ht="15.75" customHeight="1" x14ac:dyDescent="0.25">
      <c r="A19" s="94" t="s">
        <v>111</v>
      </c>
      <c r="B19" s="215">
        <f t="shared" ref="B19:M19" si="1">B3*B15</f>
        <v>26593.123899999999</v>
      </c>
      <c r="C19" s="215">
        <f t="shared" si="1"/>
        <v>24840.013800000001</v>
      </c>
      <c r="D19" s="215">
        <f t="shared" si="1"/>
        <v>21988.260000000002</v>
      </c>
      <c r="E19" s="215">
        <f t="shared" si="1"/>
        <v>25265.85</v>
      </c>
      <c r="F19" s="215">
        <f t="shared" si="1"/>
        <v>28087.88</v>
      </c>
      <c r="G19" s="215">
        <f t="shared" si="1"/>
        <v>23205.599999999999</v>
      </c>
      <c r="H19" s="215">
        <f t="shared" si="1"/>
        <v>19134</v>
      </c>
      <c r="I19" s="215">
        <f t="shared" si="1"/>
        <v>18240.169999999998</v>
      </c>
      <c r="J19" s="215">
        <f t="shared" si="1"/>
        <v>17139.64</v>
      </c>
      <c r="K19" s="215">
        <f t="shared" si="1"/>
        <v>16289.55</v>
      </c>
      <c r="L19" s="215">
        <f t="shared" si="1"/>
        <v>15918.24</v>
      </c>
      <c r="M19" s="248">
        <f t="shared" si="1"/>
        <v>15000</v>
      </c>
      <c r="N19" s="25"/>
      <c r="O19" s="25"/>
      <c r="P19" s="25"/>
      <c r="Q19" s="25"/>
      <c r="R19" s="25"/>
      <c r="S19" s="25"/>
      <c r="T19" s="25"/>
      <c r="U19" s="25"/>
      <c r="V19" s="25"/>
    </row>
    <row r="20" spans="1:22" ht="15.75" customHeight="1" x14ac:dyDescent="0.25">
      <c r="A20" s="94" t="s">
        <v>102</v>
      </c>
      <c r="B20" s="215">
        <f t="shared" ref="B20:M20" si="2">B4*B15</f>
        <v>667.58369999999991</v>
      </c>
      <c r="C20" s="215">
        <f t="shared" si="2"/>
        <v>1002.3256800000001</v>
      </c>
      <c r="D20" s="215">
        <f t="shared" si="2"/>
        <v>1392.5898</v>
      </c>
      <c r="E20" s="215">
        <f t="shared" si="2"/>
        <v>3070.0124999999998</v>
      </c>
      <c r="F20" s="215">
        <f t="shared" si="2"/>
        <v>7154.46</v>
      </c>
      <c r="G20" s="215">
        <f t="shared" si="2"/>
        <v>10782.4</v>
      </c>
      <c r="H20" s="215">
        <f t="shared" si="2"/>
        <v>17220.599999999999</v>
      </c>
      <c r="I20" s="215">
        <f t="shared" si="2"/>
        <v>19427.399999999998</v>
      </c>
      <c r="J20" s="215">
        <f t="shared" si="2"/>
        <v>20170.429999999997</v>
      </c>
      <c r="K20" s="215">
        <f t="shared" si="2"/>
        <v>20814.356699999997</v>
      </c>
      <c r="L20" s="215">
        <f t="shared" si="2"/>
        <v>21632.48</v>
      </c>
      <c r="M20" s="248">
        <f t="shared" si="2"/>
        <v>22000</v>
      </c>
      <c r="N20" s="25"/>
      <c r="O20" s="25"/>
      <c r="P20" s="25"/>
      <c r="Q20" s="25"/>
      <c r="R20" s="25"/>
      <c r="S20" s="25"/>
      <c r="T20" s="25"/>
      <c r="U20" s="25"/>
      <c r="V20" s="25"/>
    </row>
    <row r="21" spans="1:22" ht="15.75" customHeight="1" x14ac:dyDescent="0.25">
      <c r="A21" s="215" t="s">
        <v>146</v>
      </c>
      <c r="B21" s="215"/>
      <c r="C21" s="215"/>
      <c r="D21" s="215"/>
      <c r="E21" s="215">
        <f t="shared" ref="E21:M21" si="3">E5*E15</f>
        <v>337.3485</v>
      </c>
      <c r="F21" s="215">
        <f t="shared" si="3"/>
        <v>2384.8200000000002</v>
      </c>
      <c r="G21" s="215">
        <f t="shared" si="3"/>
        <v>4922.3999999999996</v>
      </c>
      <c r="H21" s="215">
        <f t="shared" si="3"/>
        <v>6590.5999999999995</v>
      </c>
      <c r="I21" s="215">
        <f t="shared" si="3"/>
        <v>7339.24</v>
      </c>
      <c r="J21" s="215">
        <f t="shared" si="3"/>
        <v>7524.7199999999993</v>
      </c>
      <c r="K21" s="215">
        <f t="shared" si="3"/>
        <v>7811.8125</v>
      </c>
      <c r="L21" s="215">
        <f t="shared" si="3"/>
        <v>8265.24</v>
      </c>
      <c r="M21" s="248">
        <f t="shared" si="3"/>
        <v>8900</v>
      </c>
      <c r="N21" s="25"/>
      <c r="O21" s="25"/>
      <c r="P21" s="25"/>
      <c r="Q21" s="25"/>
      <c r="R21" s="25"/>
      <c r="S21" s="25"/>
      <c r="T21" s="25"/>
      <c r="U21" s="25"/>
      <c r="V21" s="25"/>
    </row>
    <row r="22" spans="1:22" ht="15.75" customHeight="1" x14ac:dyDescent="0.25">
      <c r="A22" s="215" t="s">
        <v>357</v>
      </c>
      <c r="B22" s="215">
        <f t="shared" ref="B22:K22" si="4">B6*B15</f>
        <v>1489.6891099999998</v>
      </c>
      <c r="C22" s="215">
        <f t="shared" si="4"/>
        <v>2204.1588600000005</v>
      </c>
      <c r="D22" s="215">
        <f t="shared" si="4"/>
        <v>2470.1641200000004</v>
      </c>
      <c r="E22" s="215">
        <f t="shared" si="4"/>
        <v>3779.1501000000003</v>
      </c>
      <c r="F22" s="215">
        <f t="shared" si="4"/>
        <v>5589.0906500000001</v>
      </c>
      <c r="G22" s="215">
        <f t="shared" si="4"/>
        <v>5906.1767999999993</v>
      </c>
      <c r="H22" s="215">
        <f t="shared" si="4"/>
        <v>7391.5704999999998</v>
      </c>
      <c r="I22" s="215">
        <f t="shared" si="4"/>
        <v>8629.3272899999993</v>
      </c>
      <c r="J22" s="215">
        <f t="shared" si="4"/>
        <v>8840.6054100000001</v>
      </c>
      <c r="K22" s="215">
        <f t="shared" si="4"/>
        <v>8770.5395999999982</v>
      </c>
      <c r="L22" s="215">
        <v>8989.6</v>
      </c>
      <c r="M22" s="215">
        <f>M6*M15</f>
        <v>8922.4</v>
      </c>
      <c r="N22" s="25"/>
      <c r="O22" s="25"/>
      <c r="P22" s="25"/>
      <c r="Q22" s="25"/>
      <c r="R22" s="25"/>
      <c r="S22" s="25"/>
      <c r="T22" s="25"/>
      <c r="U22" s="25"/>
      <c r="V22" s="25"/>
    </row>
    <row r="23" spans="1:22" ht="15.75" customHeight="1" x14ac:dyDescent="0.25">
      <c r="A23" s="285" t="s">
        <v>216</v>
      </c>
      <c r="B23" s="215">
        <f t="shared" ref="B23:M23" si="5">B7*B15</f>
        <v>3822.1038555</v>
      </c>
      <c r="C23" s="215">
        <f t="shared" si="5"/>
        <v>4166.7504922000007</v>
      </c>
      <c r="D23" s="215">
        <f t="shared" si="5"/>
        <v>4368.2206392000007</v>
      </c>
      <c r="E23" s="215">
        <f t="shared" si="5"/>
        <v>4752.1026959999999</v>
      </c>
      <c r="F23" s="215">
        <f t="shared" si="5"/>
        <v>5768.5218570000006</v>
      </c>
      <c r="G23" s="215">
        <f t="shared" si="5"/>
        <v>6208.6617960000003</v>
      </c>
      <c r="H23" s="215">
        <f t="shared" si="5"/>
        <v>6720.1350539999994</v>
      </c>
      <c r="I23" s="215">
        <f t="shared" si="5"/>
        <v>7436.3597312000002</v>
      </c>
      <c r="J23" s="215">
        <f t="shared" si="5"/>
        <v>7576.7931525999993</v>
      </c>
      <c r="K23" s="215">
        <f t="shared" si="5"/>
        <v>7568.4507210000002</v>
      </c>
      <c r="L23" s="215">
        <f t="shared" si="5"/>
        <v>7430.4446375999996</v>
      </c>
      <c r="M23" s="248">
        <f t="shared" si="5"/>
        <v>7275.6</v>
      </c>
      <c r="N23" s="25"/>
      <c r="O23" s="25"/>
      <c r="P23" s="25"/>
      <c r="Q23" s="25"/>
      <c r="R23" s="25"/>
      <c r="S23" s="25"/>
      <c r="T23" s="25"/>
      <c r="U23" s="25"/>
      <c r="V23" s="25"/>
    </row>
    <row r="24" spans="1:22" ht="15.75" customHeight="1" x14ac:dyDescent="0.25">
      <c r="A24" s="94" t="s">
        <v>99</v>
      </c>
      <c r="B24" s="215">
        <f t="shared" ref="B24:M24" si="6">B8*B15</f>
        <v>1686.4287300000001</v>
      </c>
      <c r="C24" s="215">
        <f t="shared" si="6"/>
        <v>1772.7030538000001</v>
      </c>
      <c r="D24" s="215">
        <f t="shared" si="6"/>
        <v>1552.8483161999998</v>
      </c>
      <c r="E24" s="215">
        <f t="shared" si="6"/>
        <v>1551.3034290000001</v>
      </c>
      <c r="F24" s="215">
        <f t="shared" si="6"/>
        <v>1763.3677055999999</v>
      </c>
      <c r="G24" s="215">
        <f t="shared" si="6"/>
        <v>1855.3263959999997</v>
      </c>
      <c r="H24" s="215">
        <f t="shared" si="6"/>
        <v>2093.608264</v>
      </c>
      <c r="I24" s="215">
        <f t="shared" si="6"/>
        <v>2150.1868565</v>
      </c>
      <c r="J24" s="215">
        <f t="shared" si="6"/>
        <v>2116.9671011999999</v>
      </c>
      <c r="K24" s="215">
        <f t="shared" si="6"/>
        <v>2067.3795300000002</v>
      </c>
      <c r="L24" s="215">
        <f t="shared" si="6"/>
        <v>2039.5581732000001</v>
      </c>
      <c r="M24" s="248">
        <f t="shared" si="6"/>
        <v>1902.7</v>
      </c>
      <c r="N24" s="25"/>
      <c r="O24" s="25"/>
      <c r="P24" s="25"/>
      <c r="Q24" s="25"/>
      <c r="R24" s="25"/>
      <c r="S24" s="25"/>
      <c r="T24" s="25"/>
      <c r="U24" s="25"/>
      <c r="V24" s="25"/>
    </row>
    <row r="25" spans="1:22" ht="15.75" customHeight="1" x14ac:dyDescent="0.25">
      <c r="A25" s="215" t="s">
        <v>490</v>
      </c>
      <c r="B25" s="215">
        <f t="shared" ref="B25:M25" si="7">B9*B15</f>
        <v>4554.5429999999997</v>
      </c>
      <c r="C25" s="215">
        <f t="shared" si="7"/>
        <v>5187.1950000000006</v>
      </c>
      <c r="D25" s="215">
        <f t="shared" si="7"/>
        <v>4173.2820000000002</v>
      </c>
      <c r="E25" s="215">
        <f t="shared" si="7"/>
        <v>4672.0649999999996</v>
      </c>
      <c r="F25" s="215">
        <f t="shared" si="7"/>
        <v>6185.42814</v>
      </c>
      <c r="G25" s="215">
        <f t="shared" si="7"/>
        <v>5899.7307999999994</v>
      </c>
      <c r="H25" s="215">
        <f t="shared" si="7"/>
        <v>5776.6608999999999</v>
      </c>
      <c r="I25" s="215">
        <f t="shared" si="7"/>
        <v>5335.0878300000004</v>
      </c>
      <c r="J25" s="215">
        <f t="shared" si="7"/>
        <v>5049.7141799999999</v>
      </c>
      <c r="K25" s="215">
        <f t="shared" si="7"/>
        <v>4836.1522500000001</v>
      </c>
      <c r="L25" s="285">
        <f t="shared" si="7"/>
        <v>4403.5723949579451</v>
      </c>
      <c r="M25" s="372">
        <f t="shared" si="7"/>
        <v>3662.9057889999999</v>
      </c>
      <c r="N25" s="25"/>
      <c r="O25" s="25"/>
      <c r="P25" s="25"/>
      <c r="Q25" s="25"/>
      <c r="R25" s="25"/>
      <c r="S25" s="25"/>
      <c r="T25" s="25"/>
      <c r="U25" s="25"/>
      <c r="V25" s="25"/>
    </row>
    <row r="26" spans="1:22" ht="15.75" customHeight="1" x14ac:dyDescent="0.25">
      <c r="A26" s="215" t="s">
        <v>546</v>
      </c>
      <c r="B26" s="215">
        <f t="shared" ref="B26:M26" si="8">B10*B15</f>
        <v>1603.4486999999999</v>
      </c>
      <c r="C26" s="215">
        <f t="shared" si="8"/>
        <v>1374.385</v>
      </c>
      <c r="D26" s="215">
        <f t="shared" si="8"/>
        <v>1486.67562</v>
      </c>
      <c r="E26" s="215">
        <f t="shared" si="8"/>
        <v>1427.3088</v>
      </c>
      <c r="F26" s="215">
        <f t="shared" si="8"/>
        <v>1722.37</v>
      </c>
      <c r="G26" s="215">
        <f t="shared" si="8"/>
        <v>2164.8011999999999</v>
      </c>
      <c r="H26" s="215">
        <f t="shared" si="8"/>
        <v>2544.8219999999997</v>
      </c>
      <c r="I26" s="215">
        <f t="shared" si="8"/>
        <v>2304.3054999999999</v>
      </c>
      <c r="J26" s="215">
        <f t="shared" si="8"/>
        <v>2182.1687999999999</v>
      </c>
      <c r="K26" s="215">
        <f t="shared" si="8"/>
        <v>2027.9465250000001</v>
      </c>
      <c r="L26" s="285">
        <f t="shared" si="8"/>
        <v>1909.06636</v>
      </c>
      <c r="M26" s="372">
        <f t="shared" si="8"/>
        <v>1853.1</v>
      </c>
      <c r="N26" s="25"/>
      <c r="O26" s="25"/>
      <c r="P26" s="25"/>
      <c r="Q26" s="25"/>
      <c r="R26" s="25"/>
      <c r="S26" s="25"/>
      <c r="T26" s="25"/>
      <c r="U26" s="25"/>
      <c r="V26" s="25"/>
    </row>
    <row r="27" spans="1:22" ht="15.75" customHeight="1" x14ac:dyDescent="0.25">
      <c r="A27" s="215" t="s">
        <v>548</v>
      </c>
      <c r="B27" s="215"/>
      <c r="C27" s="215"/>
      <c r="D27" s="215"/>
      <c r="E27" s="215"/>
      <c r="F27" s="215">
        <f t="shared" ref="F27:K27" si="9">F11*F15</f>
        <v>187.34085999999999</v>
      </c>
      <c r="G27" s="215">
        <f t="shared" si="9"/>
        <v>426.60799999999995</v>
      </c>
      <c r="H27" s="215">
        <f t="shared" si="9"/>
        <v>1710.367</v>
      </c>
      <c r="I27" s="215">
        <f t="shared" si="9"/>
        <v>2459.7246999999998</v>
      </c>
      <c r="J27" s="215">
        <f t="shared" si="9"/>
        <v>2794.5973999999997</v>
      </c>
      <c r="K27" s="215">
        <f t="shared" si="9"/>
        <v>3160.5825</v>
      </c>
      <c r="L27" s="285">
        <v>3525</v>
      </c>
      <c r="M27" s="285">
        <f>M11*M15</f>
        <v>3793</v>
      </c>
      <c r="N27" s="25"/>
      <c r="O27" s="25"/>
      <c r="P27" s="25"/>
      <c r="Q27" s="25"/>
      <c r="R27" s="25"/>
      <c r="S27" s="25"/>
      <c r="T27" s="25"/>
      <c r="U27" s="25"/>
      <c r="V27" s="25"/>
    </row>
    <row r="28" spans="1:22" ht="15.75" customHeight="1" x14ac:dyDescent="0.25">
      <c r="A28" s="215" t="s">
        <v>559</v>
      </c>
      <c r="B28" s="215"/>
      <c r="C28" s="215"/>
      <c r="D28" s="215"/>
      <c r="E28" s="215"/>
      <c r="F28" s="215">
        <f t="shared" ref="F28:M28" si="10">F12*F15</f>
        <v>2557.85194</v>
      </c>
      <c r="G28" s="215">
        <f t="shared" si="10"/>
        <v>2206.7588000000001</v>
      </c>
      <c r="H28" s="215">
        <f t="shared" si="10"/>
        <v>1903.1951999999999</v>
      </c>
      <c r="I28" s="215">
        <f t="shared" si="10"/>
        <v>1918.2398899999998</v>
      </c>
      <c r="J28" s="215">
        <f t="shared" si="10"/>
        <v>1849.6179799999998</v>
      </c>
      <c r="K28" s="215">
        <f t="shared" si="10"/>
        <v>1867.7659499999997</v>
      </c>
      <c r="L28" s="285">
        <f t="shared" si="10"/>
        <v>1910.1887999999999</v>
      </c>
      <c r="M28" s="372">
        <f t="shared" si="10"/>
        <v>1929.78</v>
      </c>
      <c r="N28" s="25"/>
      <c r="O28" s="25"/>
      <c r="P28" s="25"/>
      <c r="Q28" s="25"/>
      <c r="R28" s="25"/>
      <c r="S28" s="25"/>
      <c r="T28" s="25"/>
      <c r="U28" s="25"/>
      <c r="V28" s="25"/>
    </row>
    <row r="29" spans="1:22" ht="15.75" customHeight="1" x14ac:dyDescent="0.25">
      <c r="A29" s="215" t="s">
        <v>472</v>
      </c>
      <c r="B29" s="215">
        <f t="shared" ref="B29:M29" si="11">SUM(B19:B28)</f>
        <v>40416.920995499997</v>
      </c>
      <c r="C29" s="215">
        <f t="shared" si="11"/>
        <v>40547.531886000004</v>
      </c>
      <c r="D29" s="215">
        <f t="shared" si="11"/>
        <v>37432.040495400011</v>
      </c>
      <c r="E29" s="215">
        <f t="shared" si="11"/>
        <v>44855.141024999997</v>
      </c>
      <c r="F29" s="215">
        <f t="shared" si="11"/>
        <v>61401.131152600006</v>
      </c>
      <c r="G29" s="215">
        <f t="shared" si="11"/>
        <v>63578.463792000002</v>
      </c>
      <c r="H29" s="215">
        <f t="shared" si="11"/>
        <v>71085.558917999995</v>
      </c>
      <c r="I29" s="215">
        <f t="shared" si="11"/>
        <v>75240.041797699989</v>
      </c>
      <c r="J29" s="215">
        <f t="shared" si="11"/>
        <v>75245.254023799993</v>
      </c>
      <c r="K29" s="215">
        <f t="shared" si="11"/>
        <v>75214.536275999999</v>
      </c>
      <c r="L29" s="285">
        <f t="shared" si="11"/>
        <v>76023.390365757936</v>
      </c>
      <c r="M29" s="372">
        <f t="shared" si="11"/>
        <v>75239.485788999998</v>
      </c>
      <c r="N29" s="25"/>
      <c r="O29" s="25"/>
      <c r="P29" s="25"/>
      <c r="Q29" s="25"/>
      <c r="R29" s="25"/>
      <c r="S29" s="25"/>
      <c r="T29" s="25"/>
      <c r="U29" s="25"/>
      <c r="V29" s="25"/>
    </row>
    <row r="30" spans="1:22" ht="15.75" customHeight="1" x14ac:dyDescent="0.25">
      <c r="A30" s="215"/>
      <c r="B30" s="215"/>
      <c r="C30" s="215"/>
      <c r="D30" s="215"/>
      <c r="E30" s="215"/>
      <c r="F30" s="215"/>
      <c r="G30" s="215"/>
      <c r="H30" s="215"/>
      <c r="I30" s="215"/>
      <c r="J30" s="215"/>
      <c r="K30" s="215"/>
      <c r="L30" s="215"/>
      <c r="M30" s="215"/>
      <c r="N30" s="25"/>
      <c r="O30" s="25"/>
      <c r="P30" s="25"/>
      <c r="Q30" s="25"/>
      <c r="R30" s="25"/>
      <c r="S30" s="25"/>
      <c r="T30" s="25"/>
      <c r="U30" s="25"/>
      <c r="V30" s="25"/>
    </row>
    <row r="31" spans="1:22" ht="15.75" customHeight="1" x14ac:dyDescent="0.25">
      <c r="A31" s="215"/>
      <c r="B31" s="215"/>
      <c r="C31" s="215"/>
      <c r="D31" s="215"/>
      <c r="E31" s="215"/>
      <c r="F31" s="215"/>
      <c r="G31" s="215"/>
      <c r="H31" s="215"/>
      <c r="I31" s="215"/>
      <c r="J31" s="215"/>
      <c r="K31" s="215"/>
      <c r="L31" s="215"/>
      <c r="M31" s="215"/>
      <c r="N31" s="25"/>
      <c r="O31" s="25"/>
      <c r="P31" s="25"/>
      <c r="Q31" s="25"/>
      <c r="R31" s="25"/>
      <c r="S31" s="25"/>
      <c r="T31" s="25"/>
      <c r="U31" s="25"/>
      <c r="V31" s="25"/>
    </row>
    <row r="32" spans="1:22" ht="18.75" customHeight="1" x14ac:dyDescent="0.25">
      <c r="A32" s="651" t="s">
        <v>595</v>
      </c>
      <c r="B32" s="623"/>
      <c r="C32" s="623"/>
      <c r="D32" s="623"/>
      <c r="E32" s="623"/>
      <c r="F32" s="623"/>
      <c r="G32" s="623"/>
      <c r="H32" s="623"/>
      <c r="I32" s="393"/>
      <c r="J32" s="393"/>
      <c r="K32" s="393"/>
      <c r="L32" s="393"/>
      <c r="M32" s="393"/>
      <c r="N32" s="60"/>
      <c r="O32" s="60"/>
      <c r="P32" s="60"/>
      <c r="Q32" s="60"/>
      <c r="R32" s="60"/>
      <c r="S32" s="60"/>
      <c r="T32" s="60"/>
      <c r="U32" s="60"/>
      <c r="V32" s="60"/>
    </row>
    <row r="33" spans="1:22" ht="15.75" customHeight="1" x14ac:dyDescent="0.25">
      <c r="A33" s="402"/>
      <c r="B33" s="402">
        <v>1984</v>
      </c>
      <c r="C33" s="402">
        <v>1988</v>
      </c>
      <c r="D33" s="402">
        <v>1992</v>
      </c>
      <c r="E33" s="402">
        <v>1996</v>
      </c>
      <c r="F33" s="402">
        <v>2000</v>
      </c>
      <c r="G33" s="402">
        <v>2004</v>
      </c>
      <c r="H33" s="402">
        <v>2008</v>
      </c>
      <c r="I33" s="402">
        <v>2010</v>
      </c>
      <c r="J33" s="402">
        <v>2011</v>
      </c>
      <c r="K33" s="402">
        <v>2012</v>
      </c>
      <c r="L33" s="402">
        <v>2013</v>
      </c>
      <c r="M33" s="402">
        <v>2014</v>
      </c>
      <c r="N33" s="406"/>
      <c r="O33" s="406"/>
      <c r="P33" s="406"/>
      <c r="Q33" s="406"/>
      <c r="R33" s="406"/>
      <c r="S33" s="406"/>
      <c r="T33" s="83"/>
      <c r="U33" s="83"/>
      <c r="V33" s="83"/>
    </row>
    <row r="34" spans="1:22" ht="15.75" customHeight="1" x14ac:dyDescent="0.25">
      <c r="A34" s="408" t="s">
        <v>111</v>
      </c>
      <c r="B34" s="411">
        <f t="shared" ref="B34:M34" si="12">B3</f>
        <v>12787</v>
      </c>
      <c r="C34" s="411">
        <f t="shared" si="12"/>
        <v>14007</v>
      </c>
      <c r="D34" s="411">
        <f t="shared" si="12"/>
        <v>14700</v>
      </c>
      <c r="E34" s="411">
        <f t="shared" si="12"/>
        <v>17900</v>
      </c>
      <c r="F34" s="411">
        <f t="shared" si="12"/>
        <v>21200</v>
      </c>
      <c r="G34" s="411">
        <f t="shared" si="12"/>
        <v>19800</v>
      </c>
      <c r="H34" s="411">
        <f t="shared" si="12"/>
        <v>18000</v>
      </c>
      <c r="I34" s="411">
        <f t="shared" si="12"/>
        <v>16900</v>
      </c>
      <c r="J34" s="411">
        <f t="shared" si="12"/>
        <v>16400</v>
      </c>
      <c r="K34" s="411">
        <f t="shared" si="12"/>
        <v>15900</v>
      </c>
      <c r="L34" s="411">
        <f t="shared" si="12"/>
        <v>15600</v>
      </c>
      <c r="M34" s="418">
        <f t="shared" si="12"/>
        <v>15000</v>
      </c>
      <c r="N34" s="419"/>
      <c r="O34" s="419"/>
      <c r="P34" s="419"/>
      <c r="Q34" s="419"/>
      <c r="R34" s="419"/>
      <c r="S34" s="419"/>
      <c r="T34" s="25"/>
      <c r="U34" s="25"/>
      <c r="V34" s="25"/>
    </row>
    <row r="35" spans="1:22" ht="15.75" customHeight="1" x14ac:dyDescent="0.25">
      <c r="A35" s="94" t="s">
        <v>102</v>
      </c>
      <c r="B35" s="210">
        <f t="shared" ref="B35:M35" si="13">B4</f>
        <v>321</v>
      </c>
      <c r="C35" s="212">
        <f t="shared" si="13"/>
        <v>565.20000000000005</v>
      </c>
      <c r="D35" s="212">
        <f t="shared" si="13"/>
        <v>931</v>
      </c>
      <c r="E35" s="212">
        <f t="shared" si="13"/>
        <v>2175</v>
      </c>
      <c r="F35" s="212">
        <f t="shared" si="13"/>
        <v>5400</v>
      </c>
      <c r="G35" s="212">
        <f t="shared" si="13"/>
        <v>9200</v>
      </c>
      <c r="H35" s="212">
        <f t="shared" si="13"/>
        <v>16200</v>
      </c>
      <c r="I35" s="212">
        <f t="shared" si="13"/>
        <v>18000</v>
      </c>
      <c r="J35" s="212">
        <f t="shared" si="13"/>
        <v>19300</v>
      </c>
      <c r="K35" s="212">
        <f t="shared" si="13"/>
        <v>20316.599999999999</v>
      </c>
      <c r="L35" s="212">
        <f t="shared" si="13"/>
        <v>21200</v>
      </c>
      <c r="M35" s="424">
        <f t="shared" si="13"/>
        <v>22000</v>
      </c>
      <c r="N35" s="25"/>
      <c r="O35" s="25"/>
      <c r="P35" s="25"/>
      <c r="Q35" s="25"/>
      <c r="R35" s="25"/>
      <c r="S35" s="25"/>
      <c r="T35" s="25"/>
      <c r="U35" s="25"/>
      <c r="V35" s="25"/>
    </row>
    <row r="36" spans="1:22" ht="15.75" customHeight="1" x14ac:dyDescent="0.25">
      <c r="A36" s="215" t="s">
        <v>146</v>
      </c>
      <c r="B36" s="215"/>
      <c r="C36" s="215"/>
      <c r="D36" s="215"/>
      <c r="E36" s="212">
        <f t="shared" ref="E36:M36" si="14">E5</f>
        <v>239</v>
      </c>
      <c r="F36" s="212">
        <f t="shared" si="14"/>
        <v>1800</v>
      </c>
      <c r="G36" s="212">
        <f t="shared" si="14"/>
        <v>4200</v>
      </c>
      <c r="H36" s="212">
        <f t="shared" si="14"/>
        <v>6200</v>
      </c>
      <c r="I36" s="212">
        <f t="shared" si="14"/>
        <v>6800</v>
      </c>
      <c r="J36" s="212">
        <f t="shared" si="14"/>
        <v>7200</v>
      </c>
      <c r="K36" s="212">
        <f t="shared" si="14"/>
        <v>7625</v>
      </c>
      <c r="L36" s="427">
        <f t="shared" si="14"/>
        <v>8100</v>
      </c>
      <c r="M36" s="428">
        <f t="shared" si="14"/>
        <v>8900</v>
      </c>
      <c r="N36" s="25"/>
      <c r="O36" s="25"/>
      <c r="P36" s="25"/>
      <c r="Q36" s="25"/>
      <c r="R36" s="25"/>
      <c r="S36" s="25"/>
      <c r="T36" s="25"/>
      <c r="U36" s="25"/>
      <c r="V36" s="25"/>
    </row>
    <row r="37" spans="1:22" ht="15.75" customHeight="1" x14ac:dyDescent="0.2">
      <c r="A37" s="215" t="s">
        <v>608</v>
      </c>
      <c r="B37" s="215">
        <v>716.3</v>
      </c>
      <c r="C37" s="215">
        <v>1242.9000000000001</v>
      </c>
      <c r="D37" s="215">
        <v>1651.4</v>
      </c>
      <c r="E37" s="215">
        <v>2677.4</v>
      </c>
      <c r="F37" s="280">
        <v>4218.5</v>
      </c>
      <c r="G37" s="215">
        <v>5031.0569999999998</v>
      </c>
      <c r="H37" s="430">
        <v>6834.3708650400004</v>
      </c>
      <c r="I37" s="430">
        <v>7712.1711750200002</v>
      </c>
      <c r="J37" s="430">
        <v>7993.5896499400005</v>
      </c>
      <c r="K37" s="430">
        <v>7821.905708549999</v>
      </c>
      <c r="L37" s="430">
        <v>7787.6274702299997</v>
      </c>
      <c r="M37" s="432">
        <v>7343.7999999999993</v>
      </c>
      <c r="N37" s="433"/>
      <c r="O37" s="433"/>
      <c r="P37" s="433"/>
      <c r="Q37" s="433"/>
      <c r="R37" s="433"/>
      <c r="S37" s="433"/>
      <c r="T37" s="433"/>
      <c r="U37" s="433"/>
      <c r="V37" s="433"/>
    </row>
    <row r="38" spans="1:22" ht="15.75" customHeight="1" x14ac:dyDescent="0.25">
      <c r="A38" s="215" t="s">
        <v>610</v>
      </c>
      <c r="B38" s="215"/>
      <c r="C38" s="215"/>
      <c r="D38" s="215"/>
      <c r="E38" s="215"/>
      <c r="F38" s="215"/>
      <c r="G38" s="215">
        <v>8.343</v>
      </c>
      <c r="H38" s="215">
        <v>119.12913495999999</v>
      </c>
      <c r="I38" s="215">
        <v>283.12882497999999</v>
      </c>
      <c r="J38" s="215">
        <v>465.51035006000001</v>
      </c>
      <c r="K38" s="215">
        <v>738.89429144999997</v>
      </c>
      <c r="L38" s="215">
        <v>1006.27252977</v>
      </c>
      <c r="M38" s="435">
        <v>1578.6</v>
      </c>
      <c r="N38" s="25"/>
      <c r="O38" s="346"/>
      <c r="P38" s="436"/>
      <c r="Q38" s="437"/>
      <c r="R38" s="437"/>
      <c r="S38" s="437"/>
      <c r="T38" s="437"/>
      <c r="U38" s="439"/>
      <c r="V38" s="94"/>
    </row>
    <row r="39" spans="1:22" ht="16.5" customHeight="1" x14ac:dyDescent="0.25">
      <c r="A39" s="442" t="s">
        <v>612</v>
      </c>
      <c r="B39" s="442">
        <f t="shared" ref="B39:M39" si="15">SUM(B34:B38)</f>
        <v>13824.3</v>
      </c>
      <c r="C39" s="442">
        <f t="shared" si="15"/>
        <v>15815.1</v>
      </c>
      <c r="D39" s="442">
        <f t="shared" si="15"/>
        <v>17282.400000000001</v>
      </c>
      <c r="E39" s="442">
        <f t="shared" si="15"/>
        <v>22991.4</v>
      </c>
      <c r="F39" s="442">
        <f t="shared" si="15"/>
        <v>32618.5</v>
      </c>
      <c r="G39" s="442">
        <f t="shared" si="15"/>
        <v>38239.4</v>
      </c>
      <c r="H39" s="442">
        <f t="shared" si="15"/>
        <v>47353.5</v>
      </c>
      <c r="I39" s="442">
        <f t="shared" si="15"/>
        <v>49695.299999999996</v>
      </c>
      <c r="J39" s="442">
        <f t="shared" si="15"/>
        <v>51359.1</v>
      </c>
      <c r="K39" s="442">
        <f t="shared" si="15"/>
        <v>52402.400000000001</v>
      </c>
      <c r="L39" s="442">
        <f t="shared" si="15"/>
        <v>53693.9</v>
      </c>
      <c r="M39" s="442">
        <f t="shared" si="15"/>
        <v>54822.400000000001</v>
      </c>
      <c r="N39" s="419"/>
      <c r="O39" s="419"/>
      <c r="P39" s="419"/>
      <c r="Q39" s="419"/>
      <c r="R39" s="419"/>
      <c r="S39" s="419"/>
      <c r="T39" s="25"/>
      <c r="U39" s="25"/>
      <c r="V39" s="25"/>
    </row>
    <row r="40" spans="1:22" ht="15.75" customHeight="1" x14ac:dyDescent="0.25">
      <c r="A40" s="450" t="s">
        <v>617</v>
      </c>
      <c r="B40" s="452">
        <f t="shared" ref="B40:M40" si="16">B39/B13*100</f>
        <v>71.134554542640828</v>
      </c>
      <c r="C40" s="452">
        <f t="shared" si="16"/>
        <v>69.16943408258031</v>
      </c>
      <c r="D40" s="452">
        <f t="shared" si="16"/>
        <v>69.061193506607836</v>
      </c>
      <c r="E40" s="452">
        <f t="shared" si="16"/>
        <v>72.349256648000917</v>
      </c>
      <c r="F40" s="452">
        <f t="shared" si="16"/>
        <v>70.383476393284695</v>
      </c>
      <c r="G40" s="452">
        <f t="shared" si="16"/>
        <v>70.490185083143217</v>
      </c>
      <c r="H40" s="452">
        <f t="shared" si="16"/>
        <v>70.811528060242807</v>
      </c>
      <c r="I40" s="452">
        <f t="shared" si="16"/>
        <v>71.286692575494527</v>
      </c>
      <c r="J40" s="452">
        <f t="shared" si="16"/>
        <v>71.333928107974117</v>
      </c>
      <c r="K40" s="452">
        <f t="shared" si="16"/>
        <v>71.377504214076509</v>
      </c>
      <c r="L40" s="452">
        <f t="shared" si="16"/>
        <v>72.016270579420322</v>
      </c>
      <c r="M40" s="452">
        <f t="shared" si="16"/>
        <v>72.863868519440402</v>
      </c>
      <c r="N40" s="457"/>
      <c r="O40" s="457"/>
      <c r="P40" s="457"/>
      <c r="Q40" s="457"/>
      <c r="R40" s="457"/>
      <c r="S40" s="457"/>
      <c r="T40" s="25"/>
      <c r="U40" s="25"/>
      <c r="V40" s="25"/>
    </row>
    <row r="41" spans="1:22" ht="15.75" customHeight="1" x14ac:dyDescent="0.25">
      <c r="A41" s="215"/>
      <c r="B41" s="215"/>
      <c r="C41" s="215"/>
      <c r="D41" s="215"/>
      <c r="E41" s="215"/>
      <c r="F41" s="215"/>
      <c r="G41" s="285"/>
      <c r="H41" s="285"/>
      <c r="I41" s="285"/>
      <c r="J41" s="285"/>
      <c r="K41" s="285"/>
      <c r="L41" s="285"/>
      <c r="M41" s="215"/>
      <c r="N41" s="25"/>
      <c r="O41" s="25"/>
      <c r="P41" s="25"/>
      <c r="Q41" s="25"/>
      <c r="R41" s="25"/>
      <c r="S41" s="25"/>
      <c r="T41" s="25"/>
      <c r="U41" s="25"/>
      <c r="V41" s="25"/>
    </row>
    <row r="42" spans="1:22" ht="18.75" customHeight="1" x14ac:dyDescent="0.25">
      <c r="A42" s="651" t="s">
        <v>619</v>
      </c>
      <c r="B42" s="623"/>
      <c r="C42" s="623"/>
      <c r="D42" s="623"/>
      <c r="E42" s="623"/>
      <c r="F42" s="623"/>
      <c r="G42" s="393"/>
      <c r="H42" s="393"/>
      <c r="I42" s="393"/>
      <c r="J42" s="393"/>
      <c r="K42" s="393"/>
      <c r="L42" s="393"/>
      <c r="M42" s="393"/>
      <c r="N42" s="60"/>
      <c r="O42" s="60"/>
      <c r="P42" s="60"/>
      <c r="Q42" s="60"/>
      <c r="R42" s="60"/>
      <c r="S42" s="60"/>
      <c r="T42" s="60"/>
      <c r="U42" s="60"/>
      <c r="V42" s="60"/>
    </row>
    <row r="43" spans="1:22" ht="15.75" customHeight="1" x14ac:dyDescent="0.25">
      <c r="A43" s="402"/>
      <c r="B43" s="402">
        <v>1984</v>
      </c>
      <c r="C43" s="402">
        <v>1988</v>
      </c>
      <c r="D43" s="402">
        <v>1992</v>
      </c>
      <c r="E43" s="402">
        <v>1996</v>
      </c>
      <c r="F43" s="402">
        <v>2000</v>
      </c>
      <c r="G43" s="402">
        <v>2004</v>
      </c>
      <c r="H43" s="402">
        <v>2008</v>
      </c>
      <c r="I43" s="402">
        <v>2010</v>
      </c>
      <c r="J43" s="402">
        <v>2011</v>
      </c>
      <c r="K43" s="402">
        <v>2012</v>
      </c>
      <c r="L43" s="402">
        <v>2013</v>
      </c>
      <c r="M43" s="402">
        <v>2014</v>
      </c>
      <c r="N43" s="406"/>
      <c r="O43" s="406"/>
      <c r="P43" s="406"/>
      <c r="Q43" s="406"/>
      <c r="R43" s="406"/>
      <c r="S43" s="406"/>
      <c r="T43" s="83"/>
      <c r="U43" s="83"/>
      <c r="V43" s="83"/>
    </row>
    <row r="44" spans="1:22" ht="15.75" customHeight="1" x14ac:dyDescent="0.25">
      <c r="A44" s="458" t="s">
        <v>96</v>
      </c>
      <c r="B44" s="411">
        <f t="shared" ref="B44:M44" si="17">B7</f>
        <v>1837.8150000000001</v>
      </c>
      <c r="C44" s="411">
        <f t="shared" si="17"/>
        <v>2349.5830000000001</v>
      </c>
      <c r="D44" s="411">
        <f t="shared" si="17"/>
        <v>2920.3240000000005</v>
      </c>
      <c r="E44" s="411">
        <f t="shared" si="17"/>
        <v>3366.7040000000002</v>
      </c>
      <c r="F44" s="411">
        <f t="shared" si="17"/>
        <v>4353.93</v>
      </c>
      <c r="G44" s="411">
        <f t="shared" si="17"/>
        <v>5297.4930000000004</v>
      </c>
      <c r="H44" s="411">
        <f t="shared" si="17"/>
        <v>6321.8580000000002</v>
      </c>
      <c r="I44" s="411">
        <f t="shared" si="17"/>
        <v>6889.9840000000004</v>
      </c>
      <c r="J44" s="411">
        <f t="shared" si="17"/>
        <v>7249.826</v>
      </c>
      <c r="K44" s="411">
        <f t="shared" si="17"/>
        <v>7387.4580000000005</v>
      </c>
      <c r="L44" s="411">
        <f t="shared" si="17"/>
        <v>7281.8940000000002</v>
      </c>
      <c r="M44" s="418">
        <f t="shared" si="17"/>
        <v>7275.6</v>
      </c>
      <c r="N44" s="419"/>
      <c r="O44" s="419"/>
      <c r="P44" s="419"/>
      <c r="Q44" s="419"/>
      <c r="R44" s="419"/>
      <c r="S44" s="419"/>
      <c r="T44" s="25"/>
      <c r="U44" s="25"/>
      <c r="V44" s="25"/>
    </row>
    <row r="45" spans="1:22" ht="15.75" customHeight="1" x14ac:dyDescent="0.25">
      <c r="A45" s="465" t="s">
        <v>99</v>
      </c>
      <c r="B45" s="215">
        <f t="shared" ref="B45:M45" si="18">B8</f>
        <v>810.90000000000009</v>
      </c>
      <c r="C45" s="215">
        <f t="shared" si="18"/>
        <v>999.60699999999997</v>
      </c>
      <c r="D45" s="215">
        <f t="shared" si="18"/>
        <v>1038.1389999999999</v>
      </c>
      <c r="E45" s="215">
        <f t="shared" si="18"/>
        <v>1099.046</v>
      </c>
      <c r="F45" s="215">
        <f t="shared" si="18"/>
        <v>1330.944</v>
      </c>
      <c r="G45" s="215">
        <f t="shared" si="18"/>
        <v>1583.0429999999999</v>
      </c>
      <c r="H45" s="215">
        <f t="shared" si="18"/>
        <v>1969.528</v>
      </c>
      <c r="I45" s="215">
        <f t="shared" si="18"/>
        <v>1992.2049999999999</v>
      </c>
      <c r="J45" s="215">
        <f t="shared" si="18"/>
        <v>2025.6120000000001</v>
      </c>
      <c r="K45" s="215">
        <f t="shared" si="18"/>
        <v>2017.94</v>
      </c>
      <c r="L45" s="215">
        <f t="shared" si="18"/>
        <v>1998.7830000000001</v>
      </c>
      <c r="M45" s="248">
        <f t="shared" si="18"/>
        <v>1902.7</v>
      </c>
      <c r="N45" s="25"/>
      <c r="O45" s="25"/>
      <c r="P45" s="25"/>
      <c r="Q45" s="25"/>
      <c r="R45" s="25"/>
      <c r="S45" s="25"/>
      <c r="T45" s="25"/>
      <c r="U45" s="25"/>
      <c r="V45" s="25"/>
    </row>
    <row r="46" spans="1:22" ht="15.75" customHeight="1" x14ac:dyDescent="0.25">
      <c r="A46" s="468" t="s">
        <v>494</v>
      </c>
      <c r="B46" s="210">
        <f t="shared" ref="B46:L46" si="19">B9</f>
        <v>2190</v>
      </c>
      <c r="C46" s="210">
        <f t="shared" si="19"/>
        <v>2925</v>
      </c>
      <c r="D46" s="210">
        <f t="shared" si="19"/>
        <v>2790</v>
      </c>
      <c r="E46" s="210">
        <f t="shared" si="19"/>
        <v>3310</v>
      </c>
      <c r="F46" s="210">
        <f t="shared" si="19"/>
        <v>4668.6000000000004</v>
      </c>
      <c r="G46" s="210">
        <f t="shared" si="19"/>
        <v>5033.8999999999996</v>
      </c>
      <c r="H46" s="210">
        <f t="shared" si="19"/>
        <v>5434.3</v>
      </c>
      <c r="I46" s="210">
        <f t="shared" si="19"/>
        <v>4943.1000000000004</v>
      </c>
      <c r="J46" s="210">
        <f t="shared" si="19"/>
        <v>4831.8</v>
      </c>
      <c r="K46" s="210">
        <f t="shared" si="19"/>
        <v>4720.5</v>
      </c>
      <c r="L46" s="471">
        <f t="shared" si="19"/>
        <v>4315.5354713425568</v>
      </c>
      <c r="M46" s="472">
        <v>3662.9</v>
      </c>
      <c r="N46" s="25"/>
      <c r="O46" s="25"/>
      <c r="P46" s="25"/>
      <c r="Q46" s="25"/>
      <c r="R46" s="473"/>
      <c r="S46" s="25"/>
      <c r="T46" s="25"/>
      <c r="U46" s="25"/>
      <c r="V46" s="25"/>
    </row>
    <row r="47" spans="1:22" ht="15.75" customHeight="1" x14ac:dyDescent="0.25">
      <c r="A47" s="465" t="s">
        <v>514</v>
      </c>
      <c r="B47" s="215">
        <f t="shared" ref="B47:M47" si="20">B10</f>
        <v>771</v>
      </c>
      <c r="C47" s="215">
        <f t="shared" si="20"/>
        <v>775</v>
      </c>
      <c r="D47" s="215">
        <f t="shared" si="20"/>
        <v>993.9</v>
      </c>
      <c r="E47" s="215">
        <f t="shared" si="20"/>
        <v>1011.2</v>
      </c>
      <c r="F47" s="215">
        <f t="shared" si="20"/>
        <v>1300</v>
      </c>
      <c r="G47" s="215">
        <f t="shared" si="20"/>
        <v>1847.1</v>
      </c>
      <c r="H47" s="215">
        <f t="shared" si="20"/>
        <v>2394</v>
      </c>
      <c r="I47" s="215">
        <f t="shared" si="20"/>
        <v>2135</v>
      </c>
      <c r="J47" s="215">
        <f t="shared" si="20"/>
        <v>2088</v>
      </c>
      <c r="K47" s="215">
        <f t="shared" si="20"/>
        <v>1979.45</v>
      </c>
      <c r="L47" s="285">
        <f t="shared" si="20"/>
        <v>1870.9</v>
      </c>
      <c r="M47" s="372">
        <f t="shared" si="20"/>
        <v>1853.1</v>
      </c>
      <c r="N47" s="25"/>
      <c r="O47" s="25"/>
      <c r="P47" s="25"/>
      <c r="Q47" s="25"/>
      <c r="R47" s="479"/>
      <c r="S47" s="25"/>
      <c r="T47" s="25"/>
      <c r="U47" s="25"/>
      <c r="V47" s="25"/>
    </row>
    <row r="48" spans="1:22" ht="15.75" customHeight="1" x14ac:dyDescent="0.25">
      <c r="A48" s="465" t="s">
        <v>548</v>
      </c>
      <c r="B48" s="215"/>
      <c r="C48" s="215"/>
      <c r="D48" s="215"/>
      <c r="E48" s="215"/>
      <c r="F48" s="280">
        <f t="shared" ref="F48:K48" si="21">F11</f>
        <v>141.4</v>
      </c>
      <c r="G48" s="280">
        <f t="shared" si="21"/>
        <v>364</v>
      </c>
      <c r="H48" s="280">
        <f t="shared" si="21"/>
        <v>1609</v>
      </c>
      <c r="I48" s="280">
        <f t="shared" si="21"/>
        <v>2279</v>
      </c>
      <c r="J48" s="280">
        <f t="shared" si="21"/>
        <v>2674</v>
      </c>
      <c r="K48" s="280">
        <f t="shared" si="21"/>
        <v>3085</v>
      </c>
      <c r="L48" s="480">
        <v>3525</v>
      </c>
      <c r="M48" s="336">
        <v>3793</v>
      </c>
      <c r="N48" s="481"/>
      <c r="O48" s="25"/>
      <c r="P48" s="25"/>
      <c r="Q48" s="25"/>
      <c r="R48" s="482"/>
      <c r="S48" s="25"/>
      <c r="T48" s="25"/>
      <c r="U48" s="25"/>
      <c r="V48" s="25"/>
    </row>
    <row r="49" spans="1:22" ht="15.75" customHeight="1" x14ac:dyDescent="0.25">
      <c r="A49" s="483" t="s">
        <v>559</v>
      </c>
      <c r="B49" s="215"/>
      <c r="C49" s="215"/>
      <c r="D49" s="215"/>
      <c r="E49" s="215"/>
      <c r="F49" s="215">
        <f t="shared" ref="F49:M49" si="22">F12</f>
        <v>1930.6</v>
      </c>
      <c r="G49" s="215">
        <f t="shared" si="22"/>
        <v>1882.9</v>
      </c>
      <c r="H49" s="215">
        <f t="shared" si="22"/>
        <v>1790.4</v>
      </c>
      <c r="I49" s="215">
        <f t="shared" si="22"/>
        <v>1777.3</v>
      </c>
      <c r="J49" s="215">
        <f t="shared" si="22"/>
        <v>1769.8</v>
      </c>
      <c r="K49" s="215">
        <f t="shared" si="22"/>
        <v>1823.1</v>
      </c>
      <c r="L49" s="285">
        <f t="shared" si="22"/>
        <v>1872</v>
      </c>
      <c r="M49" s="105">
        <f t="shared" si="22"/>
        <v>1929.78</v>
      </c>
      <c r="N49" s="25"/>
      <c r="O49" s="25"/>
      <c r="P49" s="25"/>
      <c r="Q49" s="25"/>
      <c r="R49" s="482"/>
      <c r="S49" s="25"/>
      <c r="T49" s="25"/>
      <c r="U49" s="25"/>
      <c r="V49" s="25"/>
    </row>
    <row r="50" spans="1:22" ht="16.5" customHeight="1" x14ac:dyDescent="0.25">
      <c r="A50" s="484" t="s">
        <v>472</v>
      </c>
      <c r="B50" s="486">
        <f t="shared" ref="B50:M50" si="23">SUM(B44:B49)</f>
        <v>5609.7150000000001</v>
      </c>
      <c r="C50" s="486">
        <f t="shared" si="23"/>
        <v>7049.1900000000005</v>
      </c>
      <c r="D50" s="486">
        <f t="shared" si="23"/>
        <v>7742.3630000000003</v>
      </c>
      <c r="E50" s="486">
        <f t="shared" si="23"/>
        <v>8786.9500000000007</v>
      </c>
      <c r="F50" s="486">
        <f t="shared" si="23"/>
        <v>13725.474</v>
      </c>
      <c r="G50" s="486">
        <f t="shared" si="23"/>
        <v>16008.436</v>
      </c>
      <c r="H50" s="486">
        <f t="shared" si="23"/>
        <v>19519.086000000003</v>
      </c>
      <c r="I50" s="486">
        <f t="shared" si="23"/>
        <v>20016.589</v>
      </c>
      <c r="J50" s="486">
        <f t="shared" si="23"/>
        <v>20639.038</v>
      </c>
      <c r="K50" s="486">
        <f t="shared" si="23"/>
        <v>21013.448</v>
      </c>
      <c r="L50" s="486">
        <f t="shared" si="23"/>
        <v>20864.112471342556</v>
      </c>
      <c r="M50" s="489">
        <f t="shared" si="23"/>
        <v>20417.080000000002</v>
      </c>
      <c r="N50" s="419"/>
      <c r="O50" s="419"/>
      <c r="P50" s="419"/>
      <c r="Q50" s="419"/>
      <c r="R50" s="419"/>
      <c r="S50" s="419"/>
      <c r="T50" s="25"/>
      <c r="U50" s="25"/>
      <c r="V50" s="25"/>
    </row>
    <row r="51" spans="1:22" ht="15.75" customHeight="1" x14ac:dyDescent="0.25">
      <c r="A51" s="490"/>
      <c r="B51" s="490"/>
      <c r="C51" s="490"/>
      <c r="D51" s="490"/>
      <c r="E51" s="490"/>
      <c r="F51" s="490"/>
      <c r="G51" s="490"/>
      <c r="H51" s="490"/>
      <c r="I51" s="490"/>
      <c r="J51" s="490"/>
      <c r="K51" s="490"/>
      <c r="L51" s="490"/>
      <c r="M51" s="490"/>
      <c r="N51" s="457"/>
      <c r="O51" s="457"/>
      <c r="P51" s="457"/>
      <c r="Q51" s="457"/>
      <c r="R51" s="457"/>
      <c r="S51" s="457"/>
      <c r="T51" s="25"/>
      <c r="U51" s="25"/>
      <c r="V51" s="25"/>
    </row>
    <row r="52" spans="1:22" ht="18.75" customHeight="1" x14ac:dyDescent="0.25">
      <c r="A52" s="651" t="s">
        <v>639</v>
      </c>
      <c r="B52" s="623"/>
      <c r="C52" s="623"/>
      <c r="D52" s="623"/>
      <c r="E52" s="623"/>
      <c r="F52" s="623"/>
      <c r="G52" s="393"/>
      <c r="H52" s="393"/>
      <c r="I52" s="393"/>
      <c r="J52" s="393"/>
      <c r="K52" s="393"/>
      <c r="L52" s="393"/>
      <c r="M52" s="393"/>
      <c r="N52" s="60"/>
      <c r="O52" s="60"/>
      <c r="P52" s="60"/>
      <c r="Q52" s="60"/>
      <c r="R52" s="60"/>
      <c r="S52" s="60"/>
      <c r="T52" s="60"/>
      <c r="U52" s="60"/>
      <c r="V52" s="60"/>
    </row>
    <row r="53" spans="1:22" ht="15.75" customHeight="1" x14ac:dyDescent="0.25">
      <c r="A53" s="402"/>
      <c r="B53" s="402">
        <v>1984</v>
      </c>
      <c r="C53" s="402">
        <v>1988</v>
      </c>
      <c r="D53" s="402">
        <v>1992</v>
      </c>
      <c r="E53" s="402">
        <v>1996</v>
      </c>
      <c r="F53" s="402">
        <v>2000</v>
      </c>
      <c r="G53" s="402">
        <v>2004</v>
      </c>
      <c r="H53" s="402">
        <v>2008</v>
      </c>
      <c r="I53" s="402">
        <v>2010</v>
      </c>
      <c r="J53" s="402">
        <v>2011</v>
      </c>
      <c r="K53" s="402">
        <v>2012</v>
      </c>
      <c r="L53" s="402">
        <v>2013</v>
      </c>
      <c r="M53" s="402">
        <v>2014</v>
      </c>
      <c r="N53" s="406"/>
      <c r="O53" s="406"/>
      <c r="P53" s="406"/>
      <c r="Q53" s="406"/>
      <c r="R53" s="406"/>
      <c r="S53" s="406"/>
      <c r="T53" s="83"/>
      <c r="U53" s="83"/>
      <c r="V53" s="83"/>
    </row>
    <row r="54" spans="1:22" ht="15.75" customHeight="1" x14ac:dyDescent="0.25">
      <c r="A54" s="408" t="s">
        <v>111</v>
      </c>
      <c r="B54" s="493">
        <f t="shared" ref="B54:M54" si="24">B19</f>
        <v>26593.123899999999</v>
      </c>
      <c r="C54" s="493">
        <f t="shared" si="24"/>
        <v>24840.013800000001</v>
      </c>
      <c r="D54" s="493">
        <f t="shared" si="24"/>
        <v>21988.260000000002</v>
      </c>
      <c r="E54" s="493">
        <f t="shared" si="24"/>
        <v>25265.85</v>
      </c>
      <c r="F54" s="493">
        <f t="shared" si="24"/>
        <v>28087.88</v>
      </c>
      <c r="G54" s="493">
        <f t="shared" si="24"/>
        <v>23205.599999999999</v>
      </c>
      <c r="H54" s="493">
        <f t="shared" si="24"/>
        <v>19134</v>
      </c>
      <c r="I54" s="493">
        <f t="shared" si="24"/>
        <v>18240.169999999998</v>
      </c>
      <c r="J54" s="493">
        <f t="shared" si="24"/>
        <v>17139.64</v>
      </c>
      <c r="K54" s="493">
        <f t="shared" si="24"/>
        <v>16289.55</v>
      </c>
      <c r="L54" s="493">
        <f t="shared" si="24"/>
        <v>15918.24</v>
      </c>
      <c r="M54" s="499">
        <f t="shared" si="24"/>
        <v>15000</v>
      </c>
      <c r="N54" s="419"/>
      <c r="O54" s="419"/>
      <c r="P54" s="419"/>
      <c r="Q54" s="419"/>
      <c r="R54" s="419"/>
      <c r="S54" s="419"/>
      <c r="T54" s="25"/>
      <c r="U54" s="25"/>
      <c r="V54" s="25"/>
    </row>
    <row r="55" spans="1:22" ht="15.75" customHeight="1" x14ac:dyDescent="0.25">
      <c r="A55" s="94" t="s">
        <v>102</v>
      </c>
      <c r="B55" s="500">
        <f t="shared" ref="B55:M55" si="25">B20</f>
        <v>667.58369999999991</v>
      </c>
      <c r="C55" s="500">
        <f t="shared" si="25"/>
        <v>1002.3256800000001</v>
      </c>
      <c r="D55" s="500">
        <f t="shared" si="25"/>
        <v>1392.5898</v>
      </c>
      <c r="E55" s="500">
        <f t="shared" si="25"/>
        <v>3070.0124999999998</v>
      </c>
      <c r="F55" s="500">
        <f t="shared" si="25"/>
        <v>7154.46</v>
      </c>
      <c r="G55" s="500">
        <f t="shared" si="25"/>
        <v>10782.4</v>
      </c>
      <c r="H55" s="500">
        <f t="shared" si="25"/>
        <v>17220.599999999999</v>
      </c>
      <c r="I55" s="500">
        <f t="shared" si="25"/>
        <v>19427.399999999998</v>
      </c>
      <c r="J55" s="500">
        <f t="shared" si="25"/>
        <v>20170.429999999997</v>
      </c>
      <c r="K55" s="500">
        <f t="shared" si="25"/>
        <v>20814.356699999997</v>
      </c>
      <c r="L55" s="500">
        <f t="shared" si="25"/>
        <v>21632.48</v>
      </c>
      <c r="M55" s="503">
        <f t="shared" si="25"/>
        <v>22000</v>
      </c>
      <c r="N55" s="25"/>
      <c r="O55" s="25"/>
      <c r="P55" s="25"/>
      <c r="Q55" s="25"/>
      <c r="R55" s="25"/>
      <c r="S55" s="25"/>
      <c r="T55" s="25"/>
      <c r="U55" s="25"/>
      <c r="V55" s="25"/>
    </row>
    <row r="56" spans="1:22" ht="15.75" customHeight="1" x14ac:dyDescent="0.25">
      <c r="A56" s="215" t="s">
        <v>146</v>
      </c>
      <c r="B56" s="505"/>
      <c r="C56" s="505"/>
      <c r="D56" s="505"/>
      <c r="E56" s="505">
        <f t="shared" ref="E56:M56" si="26">E21</f>
        <v>337.3485</v>
      </c>
      <c r="F56" s="505">
        <f t="shared" si="26"/>
        <v>2384.8200000000002</v>
      </c>
      <c r="G56" s="505">
        <f t="shared" si="26"/>
        <v>4922.3999999999996</v>
      </c>
      <c r="H56" s="505">
        <f t="shared" si="26"/>
        <v>6590.5999999999995</v>
      </c>
      <c r="I56" s="505">
        <f t="shared" si="26"/>
        <v>7339.24</v>
      </c>
      <c r="J56" s="505">
        <f t="shared" si="26"/>
        <v>7524.7199999999993</v>
      </c>
      <c r="K56" s="505">
        <f t="shared" si="26"/>
        <v>7811.8125</v>
      </c>
      <c r="L56" s="505">
        <f t="shared" si="26"/>
        <v>8265.24</v>
      </c>
      <c r="M56" s="514">
        <f t="shared" si="26"/>
        <v>8900</v>
      </c>
      <c r="N56" s="25"/>
      <c r="O56" s="25"/>
      <c r="P56" s="25"/>
      <c r="Q56" s="25"/>
      <c r="R56" s="25"/>
      <c r="S56" s="25"/>
      <c r="T56" s="25"/>
      <c r="U56" s="25"/>
      <c r="V56" s="25"/>
    </row>
    <row r="57" spans="1:22" ht="15.75" customHeight="1" x14ac:dyDescent="0.25">
      <c r="A57" s="215" t="s">
        <v>608</v>
      </c>
      <c r="B57" s="505">
        <v>1450.5074999999999</v>
      </c>
      <c r="C57" s="505">
        <v>2136.5451000000003</v>
      </c>
      <c r="D57" s="505">
        <v>2414.3468000000003</v>
      </c>
      <c r="E57" s="505">
        <v>3702.8442</v>
      </c>
      <c r="F57" s="505">
        <v>5420.7725</v>
      </c>
      <c r="G57" s="505">
        <v>5896.4154899999994</v>
      </c>
      <c r="H57" s="505">
        <f t="shared" ref="H57:M57" si="27">H37*H15</f>
        <v>7264.9362295375204</v>
      </c>
      <c r="I57" s="505">
        <f t="shared" si="27"/>
        <v>8323.7463491990857</v>
      </c>
      <c r="J57" s="505">
        <f t="shared" si="27"/>
        <v>8354.1005431522935</v>
      </c>
      <c r="K57" s="505">
        <f t="shared" si="27"/>
        <v>8013.5423984094741</v>
      </c>
      <c r="L57" s="505">
        <f t="shared" si="27"/>
        <v>7946.4950706226919</v>
      </c>
      <c r="M57" s="505">
        <f t="shared" si="27"/>
        <v>7343.7999999999993</v>
      </c>
      <c r="N57" s="56"/>
      <c r="O57" s="354"/>
      <c r="P57" s="505"/>
      <c r="Q57" s="519"/>
      <c r="R57" s="519"/>
      <c r="S57" s="519"/>
      <c r="T57" s="519"/>
      <c r="U57" s="25"/>
      <c r="V57" s="25"/>
    </row>
    <row r="58" spans="1:22" ht="15.75" customHeight="1" x14ac:dyDescent="0.25">
      <c r="A58" s="215" t="s">
        <v>610</v>
      </c>
      <c r="B58" s="505"/>
      <c r="C58" s="505"/>
      <c r="D58" s="505"/>
      <c r="E58" s="505"/>
      <c r="F58" s="505"/>
      <c r="G58" s="521">
        <v>9.7779959999999999</v>
      </c>
      <c r="H58" s="521">
        <v>126.63427046247998</v>
      </c>
      <c r="I58" s="521">
        <v>305.58094080091399</v>
      </c>
      <c r="J58" s="521">
        <v>486.50486684770596</v>
      </c>
      <c r="K58" s="521">
        <v>756.99720159052492</v>
      </c>
      <c r="L58" s="521">
        <v>1026.8004893773079</v>
      </c>
      <c r="M58" s="521">
        <v>1578.6</v>
      </c>
      <c r="N58" s="25"/>
      <c r="O58" s="25"/>
      <c r="P58" s="523"/>
      <c r="Q58" s="25"/>
      <c r="R58" s="25"/>
      <c r="S58" s="25"/>
      <c r="T58" s="25"/>
      <c r="U58" s="25"/>
      <c r="V58" s="25"/>
    </row>
    <row r="59" spans="1:22" ht="16.5" customHeight="1" x14ac:dyDescent="0.25">
      <c r="A59" s="442" t="s">
        <v>612</v>
      </c>
      <c r="B59" s="505">
        <f t="shared" ref="B59:M59" si="28">SUM(B54:B58)</f>
        <v>28711.215099999998</v>
      </c>
      <c r="C59" s="505">
        <f t="shared" si="28"/>
        <v>27978.884580000002</v>
      </c>
      <c r="D59" s="505">
        <f t="shared" si="28"/>
        <v>25795.196600000003</v>
      </c>
      <c r="E59" s="505">
        <f t="shared" si="28"/>
        <v>32376.055199999999</v>
      </c>
      <c r="F59" s="505">
        <f t="shared" si="28"/>
        <v>43047.932500000003</v>
      </c>
      <c r="G59" s="505">
        <f t="shared" si="28"/>
        <v>44816.593485999998</v>
      </c>
      <c r="H59" s="505">
        <f t="shared" si="28"/>
        <v>50336.770499999991</v>
      </c>
      <c r="I59" s="505">
        <f t="shared" si="28"/>
        <v>53636.137289999991</v>
      </c>
      <c r="J59" s="505">
        <f t="shared" si="28"/>
        <v>53675.39540999999</v>
      </c>
      <c r="K59" s="505">
        <f t="shared" si="28"/>
        <v>53686.258799999989</v>
      </c>
      <c r="L59" s="505">
        <f t="shared" si="28"/>
        <v>54789.255559999998</v>
      </c>
      <c r="M59" s="505">
        <f t="shared" si="28"/>
        <v>54822.400000000001</v>
      </c>
      <c r="N59" s="419"/>
      <c r="O59" s="419"/>
      <c r="P59" s="419"/>
      <c r="Q59" s="419"/>
      <c r="R59" s="419"/>
      <c r="S59" s="419"/>
      <c r="T59" s="25"/>
      <c r="U59" s="25"/>
      <c r="V59" s="25"/>
    </row>
    <row r="60" spans="1:22" ht="15.75" customHeight="1" x14ac:dyDescent="0.25">
      <c r="A60" s="490"/>
      <c r="B60" s="490"/>
      <c r="C60" s="490"/>
      <c r="D60" s="490"/>
      <c r="E60" s="490"/>
      <c r="F60" s="490"/>
      <c r="G60" s="490"/>
      <c r="H60" s="490"/>
      <c r="I60" s="490"/>
      <c r="J60" s="490"/>
      <c r="K60" s="490"/>
      <c r="L60" s="490"/>
      <c r="M60" s="490"/>
      <c r="N60" s="457"/>
      <c r="O60" s="457"/>
      <c r="P60" s="457"/>
      <c r="Q60" s="457"/>
      <c r="R60" s="457"/>
      <c r="S60" s="457"/>
      <c r="T60" s="25"/>
      <c r="U60" s="25"/>
      <c r="V60" s="25"/>
    </row>
    <row r="61" spans="1:22" ht="18.75" customHeight="1" x14ac:dyDescent="0.25">
      <c r="A61" s="651" t="s">
        <v>647</v>
      </c>
      <c r="B61" s="623"/>
      <c r="C61" s="623"/>
      <c r="D61" s="623"/>
      <c r="E61" s="623"/>
      <c r="F61" s="393"/>
      <c r="G61" s="393"/>
      <c r="H61" s="393"/>
      <c r="I61" s="393"/>
      <c r="J61" s="393"/>
      <c r="K61" s="393"/>
      <c r="L61" s="393"/>
      <c r="M61" s="393"/>
      <c r="N61" s="60"/>
      <c r="O61" s="60"/>
      <c r="P61" s="60"/>
      <c r="Q61" s="60"/>
      <c r="R61" s="60"/>
      <c r="S61" s="60"/>
      <c r="T61" s="60"/>
      <c r="U61" s="60"/>
      <c r="V61" s="60"/>
    </row>
    <row r="62" spans="1:22" ht="15.75" customHeight="1" x14ac:dyDescent="0.25">
      <c r="A62" s="402"/>
      <c r="B62" s="402">
        <v>1984</v>
      </c>
      <c r="C62" s="402">
        <v>1988</v>
      </c>
      <c r="D62" s="402">
        <v>1992</v>
      </c>
      <c r="E62" s="402">
        <v>1996</v>
      </c>
      <c r="F62" s="402">
        <v>2000</v>
      </c>
      <c r="G62" s="402">
        <v>2004</v>
      </c>
      <c r="H62" s="402">
        <v>2008</v>
      </c>
      <c r="I62" s="402">
        <v>2010</v>
      </c>
      <c r="J62" s="402">
        <v>2011</v>
      </c>
      <c r="K62" s="402">
        <v>2012</v>
      </c>
      <c r="L62" s="402">
        <v>2013</v>
      </c>
      <c r="M62" s="402">
        <v>2014</v>
      </c>
      <c r="N62" s="406"/>
      <c r="O62" s="406"/>
      <c r="P62" s="406"/>
      <c r="Q62" s="406"/>
      <c r="R62" s="406"/>
      <c r="S62" s="406"/>
      <c r="T62" s="83"/>
      <c r="U62" s="83"/>
      <c r="V62" s="83"/>
    </row>
    <row r="63" spans="1:22" ht="15.75" customHeight="1" x14ac:dyDescent="0.25">
      <c r="A63" s="442" t="s">
        <v>96</v>
      </c>
      <c r="B63" s="411">
        <f t="shared" ref="B63:M63" si="29">B23</f>
        <v>3822.1038555</v>
      </c>
      <c r="C63" s="411">
        <f t="shared" si="29"/>
        <v>4166.7504922000007</v>
      </c>
      <c r="D63" s="411">
        <f t="shared" si="29"/>
        <v>4368.2206392000007</v>
      </c>
      <c r="E63" s="411">
        <f t="shared" si="29"/>
        <v>4752.1026959999999</v>
      </c>
      <c r="F63" s="411">
        <f t="shared" si="29"/>
        <v>5768.5218570000006</v>
      </c>
      <c r="G63" s="411">
        <f t="shared" si="29"/>
        <v>6208.6617960000003</v>
      </c>
      <c r="H63" s="411">
        <f t="shared" si="29"/>
        <v>6720.1350539999994</v>
      </c>
      <c r="I63" s="411">
        <f t="shared" si="29"/>
        <v>7436.3597312000002</v>
      </c>
      <c r="J63" s="411">
        <f t="shared" si="29"/>
        <v>7576.7931525999993</v>
      </c>
      <c r="K63" s="411">
        <f t="shared" si="29"/>
        <v>7568.4507210000002</v>
      </c>
      <c r="L63" s="411">
        <f t="shared" si="29"/>
        <v>7430.4446375999996</v>
      </c>
      <c r="M63" s="418">
        <f t="shared" si="29"/>
        <v>7275.6</v>
      </c>
      <c r="N63" s="419"/>
      <c r="O63" s="419"/>
      <c r="P63" s="419"/>
      <c r="Q63" s="419"/>
      <c r="R63" s="419"/>
      <c r="S63" s="419"/>
      <c r="T63" s="25"/>
      <c r="U63" s="25"/>
      <c r="V63" s="25"/>
    </row>
    <row r="64" spans="1:22" ht="15.75" customHeight="1" x14ac:dyDescent="0.25">
      <c r="A64" s="215" t="s">
        <v>99</v>
      </c>
      <c r="B64" s="210">
        <f t="shared" ref="B64:M64" si="30">B24</f>
        <v>1686.4287300000001</v>
      </c>
      <c r="C64" s="210">
        <f t="shared" si="30"/>
        <v>1772.7030538000001</v>
      </c>
      <c r="D64" s="210">
        <f t="shared" si="30"/>
        <v>1552.8483161999998</v>
      </c>
      <c r="E64" s="210">
        <f t="shared" si="30"/>
        <v>1551.3034290000001</v>
      </c>
      <c r="F64" s="210">
        <f t="shared" si="30"/>
        <v>1763.3677055999999</v>
      </c>
      <c r="G64" s="210">
        <f t="shared" si="30"/>
        <v>1855.3263959999997</v>
      </c>
      <c r="H64" s="210">
        <f t="shared" si="30"/>
        <v>2093.608264</v>
      </c>
      <c r="I64" s="210">
        <f t="shared" si="30"/>
        <v>2150.1868565</v>
      </c>
      <c r="J64" s="210">
        <f t="shared" si="30"/>
        <v>2116.9671011999999</v>
      </c>
      <c r="K64" s="210">
        <f t="shared" si="30"/>
        <v>2067.3795300000002</v>
      </c>
      <c r="L64" s="210">
        <f t="shared" si="30"/>
        <v>2039.5581732000001</v>
      </c>
      <c r="M64" s="532">
        <f t="shared" si="30"/>
        <v>1902.7</v>
      </c>
      <c r="N64" s="25"/>
      <c r="O64" s="25"/>
      <c r="P64" s="25"/>
      <c r="Q64" s="25"/>
      <c r="R64" s="25"/>
      <c r="S64" s="25"/>
      <c r="T64" s="25"/>
      <c r="U64" s="25"/>
      <c r="V64" s="25"/>
    </row>
    <row r="65" spans="1:22" ht="15.75" customHeight="1" x14ac:dyDescent="0.25">
      <c r="A65" s="94" t="s">
        <v>494</v>
      </c>
      <c r="B65" s="215">
        <f t="shared" ref="B65:M65" si="31">B25</f>
        <v>4554.5429999999997</v>
      </c>
      <c r="C65" s="215">
        <f t="shared" si="31"/>
        <v>5187.1950000000006</v>
      </c>
      <c r="D65" s="215">
        <f t="shared" si="31"/>
        <v>4173.2820000000002</v>
      </c>
      <c r="E65" s="215">
        <f t="shared" si="31"/>
        <v>4672.0649999999996</v>
      </c>
      <c r="F65" s="215">
        <f t="shared" si="31"/>
        <v>6185.42814</v>
      </c>
      <c r="G65" s="215">
        <f t="shared" si="31"/>
        <v>5899.7307999999994</v>
      </c>
      <c r="H65" s="215">
        <f t="shared" si="31"/>
        <v>5776.6608999999999</v>
      </c>
      <c r="I65" s="215">
        <f t="shared" si="31"/>
        <v>5335.0878300000004</v>
      </c>
      <c r="J65" s="215">
        <f t="shared" si="31"/>
        <v>5049.7141799999999</v>
      </c>
      <c r="K65" s="215">
        <f t="shared" si="31"/>
        <v>4836.1522500000001</v>
      </c>
      <c r="L65" s="285">
        <f t="shared" si="31"/>
        <v>4403.5723949579451</v>
      </c>
      <c r="M65" s="372">
        <f t="shared" si="31"/>
        <v>3662.9057889999999</v>
      </c>
      <c r="N65" s="25"/>
      <c r="O65" s="25"/>
      <c r="P65" s="25"/>
      <c r="Q65" s="25"/>
      <c r="R65" s="25"/>
      <c r="S65" s="25"/>
      <c r="T65" s="25"/>
      <c r="U65" s="25"/>
      <c r="V65" s="25"/>
    </row>
    <row r="66" spans="1:22" ht="15.75" customHeight="1" x14ac:dyDescent="0.25">
      <c r="A66" s="215" t="s">
        <v>546</v>
      </c>
      <c r="B66" s="215">
        <f t="shared" ref="B66:M66" si="32">B26</f>
        <v>1603.4486999999999</v>
      </c>
      <c r="C66" s="215">
        <f t="shared" si="32"/>
        <v>1374.385</v>
      </c>
      <c r="D66" s="215">
        <f t="shared" si="32"/>
        <v>1486.67562</v>
      </c>
      <c r="E66" s="215">
        <f t="shared" si="32"/>
        <v>1427.3088</v>
      </c>
      <c r="F66" s="215">
        <f t="shared" si="32"/>
        <v>1722.37</v>
      </c>
      <c r="G66" s="215">
        <f t="shared" si="32"/>
        <v>2164.8011999999999</v>
      </c>
      <c r="H66" s="215">
        <f t="shared" si="32"/>
        <v>2544.8219999999997</v>
      </c>
      <c r="I66" s="215">
        <f t="shared" si="32"/>
        <v>2304.3054999999999</v>
      </c>
      <c r="J66" s="215">
        <f t="shared" si="32"/>
        <v>2182.1687999999999</v>
      </c>
      <c r="K66" s="215">
        <f t="shared" si="32"/>
        <v>2027.9465250000001</v>
      </c>
      <c r="L66" s="285">
        <f t="shared" si="32"/>
        <v>1909.06636</v>
      </c>
      <c r="M66" s="372">
        <f t="shared" si="32"/>
        <v>1853.1</v>
      </c>
      <c r="N66" s="25"/>
      <c r="O66" s="25"/>
      <c r="P66" s="25"/>
      <c r="Q66" s="25"/>
      <c r="R66" s="25"/>
      <c r="S66" s="25"/>
      <c r="T66" s="25"/>
      <c r="U66" s="25"/>
      <c r="V66" s="25"/>
    </row>
    <row r="67" spans="1:22" ht="15.75" customHeight="1" x14ac:dyDescent="0.25">
      <c r="A67" s="215" t="s">
        <v>548</v>
      </c>
      <c r="B67" s="215"/>
      <c r="C67" s="215"/>
      <c r="D67" s="215"/>
      <c r="E67" s="215"/>
      <c r="F67" s="280">
        <f t="shared" ref="F67:K67" si="33">F27</f>
        <v>187.34085999999999</v>
      </c>
      <c r="G67" s="280">
        <f t="shared" si="33"/>
        <v>426.60799999999995</v>
      </c>
      <c r="H67" s="280">
        <f t="shared" si="33"/>
        <v>1710.367</v>
      </c>
      <c r="I67" s="280">
        <f t="shared" si="33"/>
        <v>2459.7246999999998</v>
      </c>
      <c r="J67" s="280">
        <f t="shared" si="33"/>
        <v>2794.5973999999997</v>
      </c>
      <c r="K67" s="280">
        <f t="shared" si="33"/>
        <v>3160.5825</v>
      </c>
      <c r="L67" s="215">
        <v>3525</v>
      </c>
      <c r="M67" s="94">
        <v>3793</v>
      </c>
      <c r="N67" s="25"/>
      <c r="O67" s="25"/>
      <c r="P67" s="25"/>
      <c r="Q67" s="25"/>
      <c r="R67" s="25"/>
      <c r="S67" s="25"/>
      <c r="T67" s="25"/>
      <c r="U67" s="25"/>
      <c r="V67" s="25"/>
    </row>
    <row r="68" spans="1:22" ht="15.75" customHeight="1" x14ac:dyDescent="0.25">
      <c r="A68" s="215" t="s">
        <v>559</v>
      </c>
      <c r="B68" s="215"/>
      <c r="C68" s="215"/>
      <c r="D68" s="215"/>
      <c r="E68" s="215"/>
      <c r="F68" s="280">
        <f t="shared" ref="F68:M68" si="34">F28</f>
        <v>2557.85194</v>
      </c>
      <c r="G68" s="280">
        <f t="shared" si="34"/>
        <v>2206.7588000000001</v>
      </c>
      <c r="H68" s="280">
        <f t="shared" si="34"/>
        <v>1903.1951999999999</v>
      </c>
      <c r="I68" s="280">
        <f t="shared" si="34"/>
        <v>1918.2398899999998</v>
      </c>
      <c r="J68" s="280">
        <f t="shared" si="34"/>
        <v>1849.6179799999998</v>
      </c>
      <c r="K68" s="280">
        <f t="shared" si="34"/>
        <v>1867.7659499999997</v>
      </c>
      <c r="L68" s="280">
        <f t="shared" si="34"/>
        <v>1910.1887999999999</v>
      </c>
      <c r="M68" s="541">
        <f t="shared" si="34"/>
        <v>1929.78</v>
      </c>
      <c r="N68" s="25"/>
      <c r="O68" s="25"/>
      <c r="P68" s="25"/>
      <c r="Q68" s="25"/>
      <c r="R68" s="25"/>
      <c r="S68" s="25"/>
      <c r="T68" s="25"/>
      <c r="U68" s="25"/>
      <c r="V68" s="25"/>
    </row>
    <row r="69" spans="1:22" ht="16.5" customHeight="1" x14ac:dyDescent="0.25">
      <c r="A69" s="442" t="s">
        <v>472</v>
      </c>
      <c r="B69" s="442">
        <v>11383.528</v>
      </c>
      <c r="C69" s="442">
        <v>12136.9391</v>
      </c>
      <c r="D69" s="442">
        <v>11337.25741</v>
      </c>
      <c r="E69" s="442">
        <v>12124.371099999998</v>
      </c>
      <c r="F69" s="442">
        <v>16757.621600000002</v>
      </c>
      <c r="G69" s="442">
        <v>18061.56522</v>
      </c>
      <c r="H69" s="442">
        <v>20385.818620000005</v>
      </c>
      <c r="I69" s="442">
        <v>20682.765440000003</v>
      </c>
      <c r="J69" s="442">
        <v>20746.360760000003</v>
      </c>
      <c r="K69" s="442">
        <v>20999.21098</v>
      </c>
      <c r="L69" s="442">
        <f t="shared" ref="L69:M69" si="35">SUM(L63:L68)</f>
        <v>21217.830365757945</v>
      </c>
      <c r="M69" s="546">
        <f t="shared" si="35"/>
        <v>20417.085789000001</v>
      </c>
      <c r="N69" s="419"/>
      <c r="O69" s="419"/>
      <c r="P69" s="419"/>
      <c r="Q69" s="419"/>
      <c r="R69" s="419"/>
      <c r="S69" s="419"/>
      <c r="T69" s="25"/>
      <c r="U69" s="25"/>
      <c r="V69" s="25"/>
    </row>
    <row r="70" spans="1:22" ht="15.75" customHeight="1" x14ac:dyDescent="0.25">
      <c r="A70" s="490"/>
      <c r="B70" s="490"/>
      <c r="C70" s="490"/>
      <c r="D70" s="490"/>
      <c r="E70" s="490"/>
      <c r="F70" s="490"/>
      <c r="G70" s="490"/>
      <c r="H70" s="490"/>
      <c r="I70" s="490"/>
      <c r="J70" s="490"/>
      <c r="K70" s="490"/>
      <c r="L70" s="490"/>
      <c r="M70" s="490"/>
      <c r="N70" s="457"/>
      <c r="O70" s="457"/>
      <c r="P70" s="457"/>
      <c r="Q70" s="457"/>
      <c r="R70" s="457"/>
      <c r="S70" s="457"/>
      <c r="T70" s="25"/>
      <c r="U70" s="25"/>
      <c r="V70" s="25"/>
    </row>
    <row r="71" spans="1:22" ht="15.75" customHeight="1" x14ac:dyDescent="0.25">
      <c r="A71" s="215"/>
      <c r="B71" s="215"/>
      <c r="C71" s="215"/>
      <c r="D71" s="215"/>
      <c r="E71" s="215"/>
      <c r="F71" s="215"/>
      <c r="G71" s="215"/>
      <c r="H71" s="215"/>
      <c r="I71" s="215"/>
      <c r="J71" s="215"/>
      <c r="K71" s="215"/>
      <c r="L71" s="215"/>
      <c r="M71" s="215"/>
      <c r="N71" s="25"/>
      <c r="O71" s="25"/>
      <c r="P71" s="25"/>
      <c r="Q71" s="25"/>
      <c r="R71" s="25"/>
      <c r="S71" s="25"/>
      <c r="T71" s="25"/>
      <c r="U71" s="25"/>
      <c r="V71" s="25"/>
    </row>
    <row r="72" spans="1:22" ht="15.75" customHeight="1" x14ac:dyDescent="0.25">
      <c r="A72" s="550" t="s">
        <v>652</v>
      </c>
      <c r="B72" s="215"/>
      <c r="C72" s="215"/>
      <c r="D72" s="215"/>
      <c r="E72" s="215"/>
      <c r="F72" s="215"/>
      <c r="G72" s="215"/>
      <c r="H72" s="215"/>
      <c r="I72" s="215"/>
      <c r="J72" s="215"/>
      <c r="K72" s="215"/>
      <c r="L72" s="215"/>
      <c r="M72" s="215"/>
      <c r="N72" s="25"/>
      <c r="O72" s="25"/>
      <c r="P72" s="25"/>
      <c r="Q72" s="25"/>
      <c r="R72" s="25"/>
      <c r="S72" s="25"/>
      <c r="T72" s="25"/>
      <c r="U72" s="25"/>
      <c r="V72" s="25"/>
    </row>
    <row r="73" spans="1:22" ht="15.75" customHeight="1" x14ac:dyDescent="0.25">
      <c r="A73" s="551"/>
      <c r="B73" s="552">
        <v>2004</v>
      </c>
      <c r="C73" s="552">
        <v>2008</v>
      </c>
      <c r="D73" s="552">
        <v>2010</v>
      </c>
      <c r="E73" s="552">
        <v>2011</v>
      </c>
      <c r="F73" s="552">
        <v>2012</v>
      </c>
      <c r="G73" s="552">
        <v>2013</v>
      </c>
      <c r="H73" s="552">
        <v>2014</v>
      </c>
      <c r="I73" s="553"/>
      <c r="J73" s="553"/>
      <c r="K73" s="553"/>
      <c r="L73" s="553"/>
      <c r="M73" s="554"/>
      <c r="N73" s="555"/>
      <c r="O73" s="555"/>
      <c r="P73" s="555"/>
      <c r="Q73" s="555"/>
      <c r="R73" s="555"/>
      <c r="S73" s="555"/>
      <c r="T73" s="555"/>
      <c r="U73" s="555"/>
      <c r="V73" s="555"/>
    </row>
    <row r="74" spans="1:22" ht="15.75" customHeight="1" x14ac:dyDescent="0.25">
      <c r="A74" s="556" t="s">
        <v>656</v>
      </c>
      <c r="B74" s="557"/>
      <c r="C74" s="557"/>
      <c r="D74" s="557">
        <v>13000</v>
      </c>
      <c r="E74" s="557">
        <v>50644</v>
      </c>
      <c r="F74" s="557">
        <v>248298</v>
      </c>
      <c r="G74" s="557">
        <v>479430</v>
      </c>
      <c r="H74" s="558">
        <v>700533</v>
      </c>
      <c r="I74" s="215"/>
      <c r="J74" s="215"/>
      <c r="K74" s="215"/>
      <c r="L74" s="215"/>
      <c r="M74" s="215"/>
      <c r="N74" s="25"/>
      <c r="O74" s="25"/>
      <c r="P74" s="25"/>
      <c r="Q74" s="25"/>
      <c r="R74" s="25"/>
      <c r="S74" s="25"/>
      <c r="T74" s="25"/>
      <c r="U74" s="25"/>
      <c r="V74" s="25"/>
    </row>
    <row r="75" spans="1:22" ht="15.75" customHeight="1" x14ac:dyDescent="0.25">
      <c r="A75" s="556" t="s">
        <v>659</v>
      </c>
      <c r="B75" s="557"/>
      <c r="C75" s="557"/>
      <c r="D75" s="557">
        <v>46575</v>
      </c>
      <c r="E75" s="557">
        <v>77060</v>
      </c>
      <c r="F75" s="557">
        <v>123020</v>
      </c>
      <c r="G75" s="557">
        <v>178083</v>
      </c>
      <c r="H75" s="560">
        <v>218537</v>
      </c>
      <c r="I75" s="215"/>
      <c r="J75" s="215"/>
      <c r="K75" s="215"/>
      <c r="L75" s="215"/>
      <c r="M75" s="215"/>
      <c r="N75" s="63"/>
      <c r="O75" s="25"/>
      <c r="P75" s="25"/>
      <c r="Q75" s="25"/>
      <c r="R75" s="25"/>
      <c r="S75" s="25"/>
      <c r="T75" s="25"/>
      <c r="U75" s="25"/>
      <c r="V75" s="25"/>
    </row>
    <row r="76" spans="1:22" ht="15.75" customHeight="1" x14ac:dyDescent="0.25">
      <c r="A76" s="556" t="s">
        <v>660</v>
      </c>
      <c r="B76" s="557"/>
      <c r="C76" s="557">
        <v>78000</v>
      </c>
      <c r="D76" s="557">
        <v>314000</v>
      </c>
      <c r="E76" s="557">
        <v>509000</v>
      </c>
      <c r="F76" s="557">
        <v>678000</v>
      </c>
      <c r="G76" s="557">
        <v>815000</v>
      </c>
      <c r="H76" s="561">
        <v>916000</v>
      </c>
      <c r="I76" s="215"/>
      <c r="J76" s="215"/>
      <c r="K76" s="215"/>
      <c r="L76" s="215"/>
      <c r="M76" s="215"/>
      <c r="N76" s="481"/>
      <c r="O76" s="25"/>
      <c r="P76" s="25"/>
      <c r="Q76" s="25"/>
      <c r="R76" s="25"/>
      <c r="S76" s="25"/>
      <c r="T76" s="25"/>
      <c r="U76" s="25"/>
      <c r="V76" s="25"/>
    </row>
    <row r="77" spans="1:22" ht="15.75" customHeight="1" x14ac:dyDescent="0.25">
      <c r="A77" s="556" t="s">
        <v>15</v>
      </c>
      <c r="B77" s="557">
        <v>32578</v>
      </c>
      <c r="C77" s="557">
        <v>82278</v>
      </c>
      <c r="D77" s="557">
        <v>89967</v>
      </c>
      <c r="E77" s="557">
        <v>95476</v>
      </c>
      <c r="F77" s="557">
        <v>97232</v>
      </c>
      <c r="G77" s="557">
        <v>104861</v>
      </c>
      <c r="H77" s="563">
        <v>108096</v>
      </c>
      <c r="I77" s="215"/>
      <c r="J77" s="215"/>
      <c r="K77" s="215"/>
      <c r="L77" s="215"/>
      <c r="M77" s="215"/>
      <c r="N77" s="25"/>
      <c r="O77" s="25"/>
      <c r="P77" s="25"/>
      <c r="Q77" s="25"/>
      <c r="R77" s="25"/>
      <c r="S77" s="25"/>
      <c r="T77" s="25"/>
      <c r="U77" s="25"/>
      <c r="V77" s="25"/>
    </row>
    <row r="78" spans="1:22" ht="15.75" customHeight="1" x14ac:dyDescent="0.25">
      <c r="A78" s="556" t="s">
        <v>19</v>
      </c>
      <c r="B78" s="557">
        <v>25000</v>
      </c>
      <c r="C78" s="557">
        <v>70463</v>
      </c>
      <c r="D78" s="557">
        <v>85537</v>
      </c>
      <c r="E78" s="557">
        <v>93960</v>
      </c>
      <c r="F78" s="557">
        <v>97262</v>
      </c>
      <c r="G78" s="557">
        <v>101147</v>
      </c>
      <c r="H78" s="563">
        <v>103716</v>
      </c>
      <c r="I78" s="215"/>
      <c r="J78" s="215"/>
      <c r="K78" s="215"/>
      <c r="L78" s="215"/>
      <c r="M78" s="215"/>
      <c r="N78" s="25"/>
      <c r="O78" s="25"/>
      <c r="P78" s="25"/>
      <c r="Q78" s="25"/>
      <c r="R78" s="25"/>
      <c r="S78" s="25"/>
      <c r="T78" s="25"/>
      <c r="U78" s="25"/>
      <c r="V78" s="25"/>
    </row>
    <row r="79" spans="1:22" ht="15.75" customHeight="1" x14ac:dyDescent="0.25">
      <c r="A79" s="566" t="s">
        <v>572</v>
      </c>
      <c r="B79" s="557">
        <f>SUM(B77:B78)</f>
        <v>57578</v>
      </c>
      <c r="C79" s="557">
        <f>SUM(C76:C78)</f>
        <v>230741</v>
      </c>
      <c r="D79" s="557">
        <v>549079</v>
      </c>
      <c r="E79" s="557">
        <v>826140</v>
      </c>
      <c r="F79" s="557">
        <v>1243812</v>
      </c>
      <c r="G79" s="557">
        <v>1678521</v>
      </c>
      <c r="H79" s="572">
        <f>SUM(H74:H78)</f>
        <v>2046882</v>
      </c>
      <c r="I79" s="215"/>
      <c r="J79" s="215"/>
      <c r="K79" s="215"/>
      <c r="L79" s="215"/>
      <c r="M79" s="215"/>
      <c r="N79" s="25"/>
      <c r="O79" s="25"/>
      <c r="P79" s="25"/>
      <c r="Q79" s="25"/>
      <c r="R79" s="25"/>
      <c r="S79" s="25"/>
      <c r="T79" s="25"/>
      <c r="U79" s="25"/>
      <c r="V79" s="25"/>
    </row>
    <row r="80" spans="1:22" ht="13.5" customHeight="1" x14ac:dyDescent="0.25">
      <c r="A80" s="215"/>
      <c r="B80" s="215"/>
      <c r="C80" s="215"/>
      <c r="D80" s="215"/>
      <c r="E80" s="215"/>
      <c r="F80" s="215"/>
      <c r="G80" s="215"/>
      <c r="H80" s="215"/>
      <c r="I80" s="215"/>
      <c r="J80" s="215"/>
      <c r="K80" s="215"/>
      <c r="L80" s="215"/>
      <c r="M80" s="215"/>
      <c r="N80" s="25"/>
      <c r="O80" s="25"/>
      <c r="P80" s="25"/>
      <c r="Q80" s="25"/>
      <c r="R80" s="25"/>
      <c r="S80" s="25"/>
      <c r="T80" s="25"/>
      <c r="U80" s="25"/>
      <c r="V80" s="25"/>
    </row>
    <row r="81" spans="1:22" ht="15.75" customHeight="1" x14ac:dyDescent="0.25">
      <c r="A81" s="550" t="s">
        <v>663</v>
      </c>
      <c r="B81" s="339"/>
      <c r="C81" s="339"/>
      <c r="D81" s="339"/>
      <c r="E81" s="339"/>
      <c r="F81" s="339"/>
      <c r="G81" s="339"/>
      <c r="H81" s="349"/>
      <c r="I81" s="349"/>
      <c r="J81" s="349"/>
      <c r="K81" s="349"/>
      <c r="L81" s="349"/>
      <c r="M81" s="349"/>
      <c r="N81" s="56"/>
      <c r="O81" s="56"/>
      <c r="P81" s="56"/>
      <c r="Q81" s="56"/>
      <c r="R81" s="56"/>
      <c r="S81" s="56"/>
      <c r="T81" s="56"/>
      <c r="U81" s="56"/>
      <c r="V81" s="56"/>
    </row>
    <row r="82" spans="1:22" ht="15.75" customHeight="1" x14ac:dyDescent="0.25">
      <c r="A82" s="576"/>
      <c r="B82" s="578">
        <v>2004</v>
      </c>
      <c r="C82" s="578">
        <v>2008</v>
      </c>
      <c r="D82" s="578">
        <v>2010</v>
      </c>
      <c r="E82" s="578">
        <v>2011</v>
      </c>
      <c r="F82" s="578">
        <v>2012</v>
      </c>
      <c r="G82" s="578">
        <v>2013</v>
      </c>
      <c r="H82" s="553">
        <v>2014</v>
      </c>
      <c r="I82" s="553"/>
      <c r="J82" s="553"/>
      <c r="K82" s="553"/>
      <c r="L82" s="553"/>
      <c r="M82" s="553"/>
      <c r="N82" s="579"/>
      <c r="O82" s="579"/>
      <c r="P82" s="579"/>
      <c r="Q82" s="579"/>
      <c r="R82" s="579"/>
      <c r="S82" s="579"/>
      <c r="T82" s="579"/>
      <c r="U82" s="579"/>
      <c r="V82" s="579"/>
    </row>
    <row r="83" spans="1:22" ht="15.75" customHeight="1" x14ac:dyDescent="0.25">
      <c r="A83" s="580" t="s">
        <v>665</v>
      </c>
      <c r="B83" s="581"/>
      <c r="C83" s="581"/>
      <c r="D83" s="581">
        <v>4.5</v>
      </c>
      <c r="E83" s="215">
        <v>21</v>
      </c>
      <c r="F83" s="215">
        <v>105.644004</v>
      </c>
      <c r="G83" s="215">
        <v>233.7628302</v>
      </c>
      <c r="H83" s="105">
        <v>593.1</v>
      </c>
      <c r="I83" s="215"/>
      <c r="J83" s="105"/>
      <c r="K83" s="215"/>
      <c r="L83" s="215"/>
      <c r="M83" s="215"/>
      <c r="N83" s="25"/>
      <c r="O83" s="25"/>
      <c r="P83" s="25"/>
      <c r="Q83" s="25"/>
      <c r="R83" s="25"/>
      <c r="S83" s="25"/>
      <c r="T83" s="25"/>
      <c r="U83" s="25"/>
      <c r="V83" s="25"/>
    </row>
    <row r="84" spans="1:22" ht="15.75" customHeight="1" x14ac:dyDescent="0.25">
      <c r="A84" s="580" t="s">
        <v>666</v>
      </c>
      <c r="B84" s="581"/>
      <c r="C84" s="581"/>
      <c r="D84" s="581">
        <v>7.4389589999999997</v>
      </c>
      <c r="E84" s="215">
        <v>30.5</v>
      </c>
      <c r="F84" s="215">
        <v>63.442616399999999</v>
      </c>
      <c r="G84" s="581">
        <v>94.276183020000005</v>
      </c>
      <c r="H84" s="105">
        <v>122.7</v>
      </c>
      <c r="I84" s="215"/>
      <c r="J84" s="105"/>
      <c r="K84" s="215"/>
      <c r="L84" s="215"/>
      <c r="M84" s="215"/>
      <c r="N84" s="25"/>
      <c r="O84" s="25"/>
      <c r="P84" s="25"/>
      <c r="Q84" s="25"/>
      <c r="R84" s="25"/>
      <c r="S84" s="25"/>
      <c r="T84" s="25"/>
      <c r="U84" s="25"/>
      <c r="V84" s="25"/>
    </row>
    <row r="85" spans="1:22" ht="15.75" customHeight="1" x14ac:dyDescent="0.25">
      <c r="A85" s="580" t="s">
        <v>660</v>
      </c>
      <c r="B85" s="581"/>
      <c r="C85" s="581">
        <v>33.542160000000003</v>
      </c>
      <c r="D85" s="215">
        <v>162.53639999999999</v>
      </c>
      <c r="E85" s="215">
        <v>289.10874000000001</v>
      </c>
      <c r="F85" s="215">
        <v>428.20301999999998</v>
      </c>
      <c r="G85" s="581">
        <v>527.35307999999998</v>
      </c>
      <c r="H85" s="105">
        <v>697.7</v>
      </c>
      <c r="I85" s="215"/>
      <c r="J85" s="105"/>
      <c r="K85" s="215"/>
      <c r="L85" s="215"/>
      <c r="M85" s="215"/>
      <c r="N85" s="25"/>
      <c r="O85" s="25"/>
      <c r="P85" s="25"/>
      <c r="Q85" s="25"/>
      <c r="R85" s="25"/>
      <c r="S85" s="25"/>
      <c r="T85" s="25"/>
      <c r="U85" s="25"/>
      <c r="V85" s="25"/>
    </row>
    <row r="86" spans="1:22" ht="15.75" customHeight="1" x14ac:dyDescent="0.25">
      <c r="A86" s="580" t="s">
        <v>667</v>
      </c>
      <c r="B86" s="570">
        <v>8.4</v>
      </c>
      <c r="C86" s="570">
        <v>50</v>
      </c>
      <c r="D86" s="581">
        <v>59</v>
      </c>
      <c r="E86" s="581">
        <v>70.599999999999994</v>
      </c>
      <c r="F86" s="581">
        <v>78.5</v>
      </c>
      <c r="G86" s="570">
        <v>82</v>
      </c>
      <c r="H86" s="105">
        <v>85.2</v>
      </c>
      <c r="I86" s="215"/>
      <c r="J86" s="105"/>
      <c r="K86" s="215"/>
      <c r="L86" s="215"/>
      <c r="M86" s="215"/>
      <c r="N86" s="25"/>
      <c r="O86" s="25"/>
      <c r="P86" s="25"/>
      <c r="Q86" s="25"/>
      <c r="R86" s="25"/>
      <c r="S86" s="25"/>
      <c r="T86" s="25"/>
      <c r="U86" s="25"/>
      <c r="V86" s="25"/>
    </row>
    <row r="87" spans="1:22" ht="15.75" customHeight="1" x14ac:dyDescent="0.25">
      <c r="A87" s="580" t="s">
        <v>668</v>
      </c>
      <c r="B87" s="581">
        <v>4.1429999999999998</v>
      </c>
      <c r="C87" s="581">
        <v>38.775421680000001</v>
      </c>
      <c r="D87" s="581">
        <v>52.46031558</v>
      </c>
      <c r="E87" s="215">
        <v>60.101610059999999</v>
      </c>
      <c r="F87" s="215">
        <v>67.054651050000004</v>
      </c>
      <c r="G87" s="581">
        <v>70.630436549999999</v>
      </c>
      <c r="H87" s="105">
        <v>79.900000000000006</v>
      </c>
      <c r="I87" s="215"/>
      <c r="J87" s="105"/>
      <c r="K87" s="215"/>
      <c r="L87" s="215"/>
      <c r="M87" s="215"/>
      <c r="N87" s="25"/>
      <c r="O87" s="25"/>
      <c r="P87" s="25"/>
      <c r="Q87" s="25"/>
      <c r="R87" s="25"/>
      <c r="S87" s="25"/>
      <c r="T87" s="25"/>
      <c r="U87" s="25"/>
      <c r="V87" s="25"/>
    </row>
    <row r="88" spans="1:22" ht="15.75" customHeight="1" x14ac:dyDescent="0.25">
      <c r="A88" s="584" t="s">
        <v>569</v>
      </c>
      <c r="B88" s="215">
        <v>8.343</v>
      </c>
      <c r="C88" s="215">
        <v>119.12913496</v>
      </c>
      <c r="D88" s="215">
        <v>283.12882497999999</v>
      </c>
      <c r="E88" s="215">
        <v>465.51035006000001</v>
      </c>
      <c r="F88" s="215">
        <v>738.89429144999997</v>
      </c>
      <c r="G88" s="581">
        <v>1006.27252977</v>
      </c>
      <c r="H88" s="94">
        <f>SUM(H83:H87)</f>
        <v>1578.6000000000001</v>
      </c>
      <c r="I88" s="215"/>
      <c r="J88" s="105"/>
      <c r="K88" s="215"/>
      <c r="L88" s="215"/>
      <c r="M88" s="215"/>
      <c r="N88" s="25"/>
      <c r="O88" s="25"/>
      <c r="P88" s="25"/>
      <c r="Q88" s="25"/>
      <c r="R88" s="25"/>
      <c r="S88" s="25"/>
      <c r="T88" s="25"/>
      <c r="U88" s="25"/>
      <c r="V88" s="25"/>
    </row>
    <row r="89" spans="1:22" ht="15.75" customHeight="1" x14ac:dyDescent="0.25">
      <c r="A89" s="215"/>
      <c r="B89" s="215"/>
      <c r="C89" s="215"/>
      <c r="D89" s="215"/>
      <c r="E89" s="215"/>
      <c r="F89" s="215"/>
      <c r="G89" s="215"/>
      <c r="H89" s="215"/>
      <c r="I89" s="215"/>
      <c r="J89" s="215"/>
      <c r="K89" s="215"/>
      <c r="L89" s="215"/>
      <c r="M89" s="215"/>
      <c r="N89" s="25"/>
      <c r="O89" s="25"/>
      <c r="P89" s="25"/>
      <c r="Q89" s="25"/>
      <c r="R89" s="25"/>
      <c r="S89" s="25"/>
      <c r="T89" s="25"/>
      <c r="U89" s="25"/>
      <c r="V89" s="25"/>
    </row>
    <row r="90" spans="1:22" ht="15.75" customHeight="1" x14ac:dyDescent="0.25">
      <c r="A90" s="215"/>
      <c r="B90" s="215"/>
      <c r="C90" s="215"/>
      <c r="D90" s="215"/>
      <c r="E90" s="215"/>
      <c r="F90" s="215"/>
      <c r="G90" s="215"/>
      <c r="H90" s="215"/>
      <c r="I90" s="215"/>
      <c r="J90" s="215"/>
      <c r="K90" s="215"/>
      <c r="L90" s="215"/>
      <c r="M90" s="215"/>
      <c r="N90" s="25"/>
      <c r="O90" s="25"/>
      <c r="P90" s="25"/>
      <c r="Q90" s="25"/>
      <c r="R90" s="25"/>
      <c r="S90" s="25"/>
      <c r="T90" s="25"/>
      <c r="U90" s="25"/>
      <c r="V90" s="25"/>
    </row>
    <row r="91" spans="1:22" ht="15.75" customHeight="1" x14ac:dyDescent="0.25">
      <c r="A91" s="550" t="s">
        <v>669</v>
      </c>
      <c r="B91" s="349"/>
      <c r="C91" s="349"/>
      <c r="D91" s="349"/>
      <c r="E91" s="349"/>
      <c r="F91" s="349"/>
      <c r="G91" s="349"/>
      <c r="H91" s="349"/>
      <c r="I91" s="349"/>
      <c r="J91" s="349"/>
      <c r="K91" s="349"/>
      <c r="L91" s="349"/>
      <c r="M91" s="349"/>
      <c r="N91" s="56"/>
      <c r="O91" s="56"/>
      <c r="P91" s="56"/>
      <c r="Q91" s="56"/>
      <c r="R91" s="56"/>
      <c r="S91" s="56"/>
      <c r="T91" s="56"/>
      <c r="U91" s="56"/>
      <c r="V91" s="56"/>
    </row>
    <row r="92" spans="1:22" ht="15.75" customHeight="1" x14ac:dyDescent="0.25">
      <c r="A92" s="553"/>
      <c r="B92" s="553">
        <v>1984</v>
      </c>
      <c r="C92" s="553">
        <v>1988</v>
      </c>
      <c r="D92" s="553">
        <v>1992</v>
      </c>
      <c r="E92" s="553">
        <v>1996</v>
      </c>
      <c r="F92" s="553">
        <v>2000</v>
      </c>
      <c r="G92" s="553">
        <v>2004</v>
      </c>
      <c r="H92" s="553">
        <v>2008</v>
      </c>
      <c r="I92" s="553">
        <v>2010</v>
      </c>
      <c r="J92" s="553">
        <v>2011</v>
      </c>
      <c r="K92" s="553">
        <v>2012</v>
      </c>
      <c r="L92" s="93">
        <v>2013</v>
      </c>
      <c r="M92" s="93">
        <v>2014</v>
      </c>
      <c r="N92" s="10"/>
      <c r="O92" s="10"/>
      <c r="P92" s="10"/>
      <c r="Q92" s="10"/>
      <c r="R92" s="10"/>
      <c r="S92" s="10"/>
      <c r="T92" s="10"/>
      <c r="U92" s="10"/>
      <c r="V92" s="10"/>
    </row>
    <row r="93" spans="1:22" ht="15.75" customHeight="1" x14ac:dyDescent="0.25">
      <c r="A93" s="215" t="s">
        <v>357</v>
      </c>
      <c r="B93" s="215">
        <f t="shared" ref="B93:L93" si="36">B6</f>
        <v>716.3</v>
      </c>
      <c r="C93" s="215">
        <f t="shared" si="36"/>
        <v>1242.9000000000001</v>
      </c>
      <c r="D93" s="215">
        <f t="shared" si="36"/>
        <v>1651.4</v>
      </c>
      <c r="E93" s="215">
        <f t="shared" si="36"/>
        <v>2677.4</v>
      </c>
      <c r="F93" s="215">
        <f t="shared" si="36"/>
        <v>4218.5</v>
      </c>
      <c r="G93" s="215">
        <f t="shared" si="36"/>
        <v>5039.3999999999996</v>
      </c>
      <c r="H93" s="215">
        <f t="shared" si="36"/>
        <v>6953.5</v>
      </c>
      <c r="I93" s="215">
        <f t="shared" si="36"/>
        <v>7995.3</v>
      </c>
      <c r="J93" s="215">
        <f t="shared" si="36"/>
        <v>8459.1</v>
      </c>
      <c r="K93" s="215">
        <f t="shared" si="36"/>
        <v>8560.7999999999993</v>
      </c>
      <c r="L93" s="215">
        <f t="shared" si="36"/>
        <v>8793.9</v>
      </c>
      <c r="M93" s="94">
        <v>8922.4</v>
      </c>
      <c r="N93" s="25"/>
      <c r="O93" s="25"/>
      <c r="P93" s="25"/>
      <c r="Q93" s="25"/>
      <c r="R93" s="25"/>
      <c r="S93" s="25"/>
      <c r="T93" s="25"/>
      <c r="U93" s="25"/>
      <c r="V93" s="25"/>
    </row>
    <row r="94" spans="1:22" ht="15.75" customHeight="1" x14ac:dyDescent="0.25">
      <c r="A94" s="215" t="s">
        <v>96</v>
      </c>
      <c r="B94" s="215">
        <f t="shared" ref="B94:L94" si="37">B7</f>
        <v>1837.8150000000001</v>
      </c>
      <c r="C94" s="215">
        <f t="shared" si="37"/>
        <v>2349.5830000000001</v>
      </c>
      <c r="D94" s="215">
        <f t="shared" si="37"/>
        <v>2920.3240000000005</v>
      </c>
      <c r="E94" s="215">
        <f t="shared" si="37"/>
        <v>3366.7040000000002</v>
      </c>
      <c r="F94" s="215">
        <f t="shared" si="37"/>
        <v>4353.93</v>
      </c>
      <c r="G94" s="215">
        <f t="shared" si="37"/>
        <v>5297.4930000000004</v>
      </c>
      <c r="H94" s="215">
        <f t="shared" si="37"/>
        <v>6321.8580000000002</v>
      </c>
      <c r="I94" s="215">
        <f t="shared" si="37"/>
        <v>6889.9840000000004</v>
      </c>
      <c r="J94" s="215">
        <f t="shared" si="37"/>
        <v>7249.826</v>
      </c>
      <c r="K94" s="215">
        <f t="shared" si="37"/>
        <v>7387.4580000000005</v>
      </c>
      <c r="L94" s="215">
        <f t="shared" si="37"/>
        <v>7281.8940000000002</v>
      </c>
      <c r="M94" s="94">
        <v>7275.6</v>
      </c>
      <c r="N94" s="25"/>
      <c r="O94" s="25"/>
      <c r="P94" s="25"/>
      <c r="Q94" s="25"/>
      <c r="R94" s="25"/>
      <c r="S94" s="25"/>
      <c r="T94" s="25"/>
      <c r="U94" s="25"/>
      <c r="V94" s="25"/>
    </row>
    <row r="95" spans="1:22" ht="15.75" customHeight="1" x14ac:dyDescent="0.25">
      <c r="A95" s="215" t="s">
        <v>670</v>
      </c>
      <c r="B95" s="215">
        <f t="shared" ref="B95:L95" si="38">B13</f>
        <v>19434.014999999999</v>
      </c>
      <c r="C95" s="215">
        <f t="shared" si="38"/>
        <v>22864.29</v>
      </c>
      <c r="D95" s="215">
        <f t="shared" si="38"/>
        <v>25024.763000000003</v>
      </c>
      <c r="E95" s="215">
        <f t="shared" si="38"/>
        <v>31778.350000000002</v>
      </c>
      <c r="F95" s="215">
        <f t="shared" si="38"/>
        <v>46343.974000000002</v>
      </c>
      <c r="G95" s="215">
        <f t="shared" si="38"/>
        <v>54247.836000000003</v>
      </c>
      <c r="H95" s="215">
        <f t="shared" si="38"/>
        <v>66872.585999999996</v>
      </c>
      <c r="I95" s="215">
        <f t="shared" si="38"/>
        <v>69711.88900000001</v>
      </c>
      <c r="J95" s="215">
        <f t="shared" si="38"/>
        <v>71998.138000000006</v>
      </c>
      <c r="K95" s="215">
        <f t="shared" si="38"/>
        <v>73415.847999999998</v>
      </c>
      <c r="L95" s="215">
        <f t="shared" si="38"/>
        <v>74558.012471342561</v>
      </c>
      <c r="M95" s="587">
        <v>74769.100000000006</v>
      </c>
      <c r="N95" s="25"/>
      <c r="O95" s="25"/>
      <c r="P95" s="25"/>
      <c r="Q95" s="25"/>
      <c r="R95" s="25"/>
      <c r="S95" s="25"/>
      <c r="T95" s="25"/>
      <c r="U95" s="25"/>
      <c r="V95" s="25"/>
    </row>
    <row r="96" spans="1:22" ht="15.75" customHeight="1" x14ac:dyDescent="0.25">
      <c r="A96" s="215" t="s">
        <v>671</v>
      </c>
      <c r="B96" s="215">
        <f t="shared" ref="B96:M96" si="39">SUM(B93:B94)/B95*100</f>
        <v>13.142497831765592</v>
      </c>
      <c r="C96" s="215">
        <f t="shared" si="39"/>
        <v>15.712200116426095</v>
      </c>
      <c r="D96" s="215">
        <f t="shared" si="39"/>
        <v>18.268800387839836</v>
      </c>
      <c r="E96" s="215">
        <f t="shared" si="39"/>
        <v>19.019565207130011</v>
      </c>
      <c r="F96" s="215">
        <f t="shared" si="39"/>
        <v>18.497399467727995</v>
      </c>
      <c r="G96" s="215">
        <f t="shared" si="39"/>
        <v>19.054940735331819</v>
      </c>
      <c r="H96" s="215">
        <f t="shared" si="39"/>
        <v>19.851719208226822</v>
      </c>
      <c r="I96" s="215">
        <f t="shared" si="39"/>
        <v>21.35257588558531</v>
      </c>
      <c r="J96" s="215">
        <f t="shared" si="39"/>
        <v>21.818517028870936</v>
      </c>
      <c r="K96" s="215">
        <f t="shared" si="39"/>
        <v>21.723181621494039</v>
      </c>
      <c r="L96" s="215">
        <f t="shared" si="39"/>
        <v>21.561457269504015</v>
      </c>
      <c r="M96" s="215">
        <f t="shared" si="39"/>
        <v>21.664029659311133</v>
      </c>
      <c r="N96" s="25"/>
      <c r="O96" s="25"/>
      <c r="P96" s="25"/>
      <c r="Q96" s="25"/>
      <c r="R96" s="25"/>
      <c r="S96" s="25"/>
      <c r="T96" s="25"/>
      <c r="U96" s="25"/>
      <c r="V96" s="25"/>
    </row>
    <row r="97" spans="1:22" ht="15.75" customHeight="1" x14ac:dyDescent="0.25">
      <c r="A97" s="215"/>
      <c r="B97" s="215"/>
      <c r="C97" s="215"/>
      <c r="D97" s="215"/>
      <c r="E97" s="215"/>
      <c r="F97" s="215"/>
      <c r="G97" s="215"/>
      <c r="H97" s="215"/>
      <c r="I97" s="215"/>
      <c r="J97" s="215"/>
      <c r="K97" s="215"/>
      <c r="L97" s="215"/>
      <c r="M97" s="215"/>
      <c r="N97" s="25"/>
      <c r="O97" s="25"/>
      <c r="P97" s="25"/>
      <c r="Q97" s="25"/>
      <c r="R97" s="25"/>
      <c r="S97" s="25"/>
      <c r="T97" s="25"/>
      <c r="U97" s="25"/>
      <c r="V97" s="25"/>
    </row>
    <row r="98" spans="1:22" ht="15.75" customHeight="1" x14ac:dyDescent="0.25">
      <c r="A98" s="215"/>
      <c r="B98" s="505"/>
      <c r="C98" s="505"/>
      <c r="D98" s="505"/>
      <c r="E98" s="505"/>
      <c r="F98" s="505"/>
      <c r="G98" s="589"/>
      <c r="H98" s="589"/>
      <c r="I98" s="589"/>
      <c r="J98" s="589"/>
      <c r="K98" s="589"/>
      <c r="L98" s="589"/>
      <c r="M98" s="591"/>
      <c r="N98" s="25"/>
      <c r="O98" s="25"/>
      <c r="P98" s="25"/>
      <c r="Q98" s="25"/>
      <c r="R98" s="25"/>
      <c r="S98" s="25"/>
      <c r="T98" s="25"/>
      <c r="U98" s="25"/>
      <c r="V98" s="25"/>
    </row>
    <row r="99" spans="1:22" ht="15.75" customHeight="1" x14ac:dyDescent="0.25">
      <c r="A99" s="94" t="s">
        <v>111</v>
      </c>
      <c r="B99" s="505"/>
      <c r="C99" s="505"/>
      <c r="D99" s="505"/>
      <c r="E99" s="505"/>
      <c r="F99" s="505">
        <v>21200</v>
      </c>
      <c r="G99" s="589">
        <v>19800</v>
      </c>
      <c r="H99" s="589">
        <v>18000</v>
      </c>
      <c r="I99" s="589">
        <v>16900</v>
      </c>
      <c r="J99" s="589">
        <v>16400</v>
      </c>
      <c r="K99" s="589">
        <v>15900</v>
      </c>
      <c r="L99" s="589">
        <v>15600</v>
      </c>
      <c r="M99" s="589">
        <v>15000</v>
      </c>
      <c r="N99" s="25"/>
      <c r="O99" s="25"/>
      <c r="P99" s="25"/>
      <c r="Q99" s="25"/>
      <c r="R99" s="25"/>
      <c r="S99" s="25"/>
      <c r="T99" s="25"/>
      <c r="U99" s="25"/>
      <c r="V99" s="25"/>
    </row>
    <row r="100" spans="1:22" ht="15.75" customHeight="1" x14ac:dyDescent="0.25">
      <c r="A100" s="215" t="s">
        <v>146</v>
      </c>
      <c r="B100" s="505"/>
      <c r="C100" s="505"/>
      <c r="D100" s="505"/>
      <c r="E100" s="505"/>
      <c r="F100" s="505">
        <v>1800</v>
      </c>
      <c r="G100" s="589">
        <v>4200</v>
      </c>
      <c r="H100" s="589">
        <v>6200</v>
      </c>
      <c r="I100" s="589">
        <v>6800</v>
      </c>
      <c r="J100" s="589">
        <v>7200</v>
      </c>
      <c r="K100" s="589">
        <v>7625</v>
      </c>
      <c r="L100" s="589">
        <v>8100</v>
      </c>
      <c r="M100" s="589">
        <v>8900</v>
      </c>
      <c r="N100" s="25"/>
      <c r="O100" s="25"/>
      <c r="P100" s="25"/>
      <c r="Q100" s="25"/>
      <c r="R100" s="25"/>
      <c r="S100" s="25"/>
      <c r="T100" s="25"/>
      <c r="U100" s="25"/>
      <c r="V100" s="25"/>
    </row>
    <row r="101" spans="1:22" ht="15.75" customHeight="1" x14ac:dyDescent="0.25">
      <c r="A101" s="94" t="s">
        <v>95</v>
      </c>
      <c r="B101" s="505">
        <v>716.3</v>
      </c>
      <c r="C101" s="505">
        <v>1242.9000000000001</v>
      </c>
      <c r="D101" s="505">
        <v>1651.4</v>
      </c>
      <c r="E101" s="505">
        <v>2677.4</v>
      </c>
      <c r="F101" s="505">
        <v>3534.3</v>
      </c>
      <c r="G101" s="589">
        <v>3586.1569999999997</v>
      </c>
      <c r="H101" s="589">
        <v>4803.5708650400002</v>
      </c>
      <c r="I101" s="589">
        <v>5319.9711750200004</v>
      </c>
      <c r="J101" s="589">
        <v>5453.6896499400009</v>
      </c>
      <c r="K101" s="589">
        <v>5315.2057085499991</v>
      </c>
      <c r="L101" s="589">
        <v>5297.7684702299994</v>
      </c>
      <c r="M101" s="589">
        <v>4913.0879999999997</v>
      </c>
      <c r="N101" s="25"/>
      <c r="O101" s="25"/>
      <c r="P101" s="25"/>
      <c r="Q101" s="25"/>
      <c r="R101" s="25"/>
      <c r="S101" s="25"/>
      <c r="T101" s="25"/>
      <c r="U101" s="25"/>
      <c r="V101" s="25"/>
    </row>
    <row r="102" spans="1:22" ht="15.75" customHeight="1" x14ac:dyDescent="0.25">
      <c r="A102" s="215" t="s">
        <v>610</v>
      </c>
      <c r="B102" s="505"/>
      <c r="C102" s="505"/>
      <c r="D102" s="505"/>
      <c r="E102" s="505"/>
      <c r="F102" s="505"/>
      <c r="G102" s="589">
        <v>8.343</v>
      </c>
      <c r="H102" s="589">
        <v>119.12913495999999</v>
      </c>
      <c r="I102" s="589">
        <v>283.12882497999999</v>
      </c>
      <c r="J102" s="589">
        <v>465.51035006000001</v>
      </c>
      <c r="K102" s="589">
        <v>738.89429144999997</v>
      </c>
      <c r="L102" s="589">
        <v>1006.27252977</v>
      </c>
      <c r="M102" s="591">
        <v>1578.6</v>
      </c>
      <c r="N102" s="25"/>
      <c r="O102" s="25"/>
      <c r="P102" s="25"/>
      <c r="Q102" s="25"/>
      <c r="R102" s="25"/>
      <c r="S102" s="25"/>
      <c r="T102" s="25"/>
      <c r="U102" s="25"/>
      <c r="V102" s="25"/>
    </row>
    <row r="103" spans="1:22" ht="15.75" customHeight="1" x14ac:dyDescent="0.25">
      <c r="A103" s="215" t="s">
        <v>612</v>
      </c>
      <c r="B103" s="505"/>
      <c r="C103" s="505"/>
      <c r="D103" s="505"/>
      <c r="E103" s="505"/>
      <c r="F103" s="505">
        <f t="shared" ref="F103:M103" si="40">SUM(F99:F102)</f>
        <v>26534.3</v>
      </c>
      <c r="G103" s="505">
        <f t="shared" si="40"/>
        <v>27594.5</v>
      </c>
      <c r="H103" s="505">
        <f t="shared" si="40"/>
        <v>29122.7</v>
      </c>
      <c r="I103" s="505">
        <f t="shared" si="40"/>
        <v>29303.1</v>
      </c>
      <c r="J103" s="505">
        <f t="shared" si="40"/>
        <v>29519.200000000004</v>
      </c>
      <c r="K103" s="505">
        <f t="shared" si="40"/>
        <v>29579.1</v>
      </c>
      <c r="L103" s="505">
        <f t="shared" si="40"/>
        <v>30004.041000000001</v>
      </c>
      <c r="M103" s="505">
        <f t="shared" si="40"/>
        <v>30391.687999999998</v>
      </c>
      <c r="N103" s="25"/>
      <c r="O103" s="25"/>
      <c r="P103" s="25"/>
      <c r="Q103" s="25"/>
      <c r="R103" s="25"/>
      <c r="S103" s="25"/>
      <c r="T103" s="25"/>
      <c r="U103" s="25"/>
      <c r="V103" s="25"/>
    </row>
    <row r="104" spans="1:22" ht="15.75" customHeight="1" x14ac:dyDescent="0.25">
      <c r="A104" s="215"/>
      <c r="B104" s="505"/>
      <c r="C104" s="505"/>
      <c r="D104" s="505"/>
      <c r="E104" s="505"/>
      <c r="F104" s="505">
        <f t="shared" ref="F104:M104" si="41">F103/F109</f>
        <v>0.81347394883271762</v>
      </c>
      <c r="G104" s="505">
        <f t="shared" si="41"/>
        <v>0.72162481628895847</v>
      </c>
      <c r="H104" s="505">
        <f t="shared" si="41"/>
        <v>0.61500628253455392</v>
      </c>
      <c r="I104" s="505">
        <f t="shared" si="41"/>
        <v>0.58965535976239192</v>
      </c>
      <c r="J104" s="505">
        <f t="shared" si="41"/>
        <v>0.57476085056007609</v>
      </c>
      <c r="K104" s="505">
        <f t="shared" si="41"/>
        <v>0.56446078805550892</v>
      </c>
      <c r="L104" s="505">
        <f t="shared" si="41"/>
        <v>0.55879794539044469</v>
      </c>
      <c r="M104" s="596">
        <f t="shared" si="41"/>
        <v>0.55436624445482141</v>
      </c>
      <c r="N104" s="25"/>
      <c r="O104" s="25"/>
      <c r="P104" s="25"/>
      <c r="Q104" s="25"/>
      <c r="R104" s="25"/>
      <c r="S104" s="25"/>
      <c r="T104" s="25"/>
      <c r="U104" s="25"/>
      <c r="V104" s="25"/>
    </row>
    <row r="105" spans="1:22" ht="15.75" customHeight="1" x14ac:dyDescent="0.25">
      <c r="A105" s="215"/>
      <c r="B105" s="505"/>
      <c r="C105" s="505"/>
      <c r="D105" s="505"/>
      <c r="E105" s="505"/>
      <c r="F105" s="505"/>
      <c r="G105" s="589"/>
      <c r="H105" s="589"/>
      <c r="I105" s="589"/>
      <c r="J105" s="589"/>
      <c r="K105" s="589"/>
      <c r="L105" s="589"/>
      <c r="M105" s="591"/>
      <c r="N105" s="25"/>
      <c r="O105" s="25"/>
      <c r="P105" s="25"/>
      <c r="Q105" s="25"/>
      <c r="R105" s="25"/>
      <c r="S105" s="25"/>
      <c r="T105" s="25"/>
      <c r="U105" s="25"/>
      <c r="V105" s="25"/>
    </row>
    <row r="106" spans="1:22" ht="15.75" customHeight="1" x14ac:dyDescent="0.25">
      <c r="A106" s="94" t="s">
        <v>102</v>
      </c>
      <c r="B106" s="505"/>
      <c r="C106" s="505"/>
      <c r="D106" s="505"/>
      <c r="E106" s="505"/>
      <c r="F106" s="505">
        <v>5400</v>
      </c>
      <c r="G106" s="589">
        <v>9200</v>
      </c>
      <c r="H106" s="589">
        <v>16200</v>
      </c>
      <c r="I106" s="589">
        <v>18000</v>
      </c>
      <c r="J106" s="589">
        <v>19300</v>
      </c>
      <c r="K106" s="589">
        <v>20316.599999999999</v>
      </c>
      <c r="L106" s="589">
        <v>21200</v>
      </c>
      <c r="M106" s="589">
        <v>22000</v>
      </c>
      <c r="N106" s="25"/>
      <c r="O106" s="25"/>
      <c r="P106" s="25"/>
      <c r="Q106" s="25"/>
      <c r="R106" s="25"/>
      <c r="S106" s="25"/>
      <c r="T106" s="25"/>
      <c r="U106" s="25"/>
      <c r="V106" s="25"/>
    </row>
    <row r="107" spans="1:22" ht="15.75" customHeight="1" x14ac:dyDescent="0.25">
      <c r="A107" s="94" t="s">
        <v>677</v>
      </c>
      <c r="B107" s="505"/>
      <c r="C107" s="505"/>
      <c r="D107" s="505"/>
      <c r="E107" s="505"/>
      <c r="F107" s="505">
        <v>684.2</v>
      </c>
      <c r="G107" s="589">
        <v>1444.9</v>
      </c>
      <c r="H107" s="589">
        <v>2030.8</v>
      </c>
      <c r="I107" s="589">
        <v>2392.1999999999998</v>
      </c>
      <c r="J107" s="589">
        <v>2539.9</v>
      </c>
      <c r="K107" s="589">
        <v>2506.6999999999998</v>
      </c>
      <c r="L107" s="589">
        <v>2489.8589999999999</v>
      </c>
      <c r="M107" s="589">
        <v>2430.712</v>
      </c>
      <c r="N107" s="25"/>
      <c r="O107" s="25"/>
      <c r="P107" s="25"/>
      <c r="Q107" s="25"/>
      <c r="R107" s="25"/>
      <c r="S107" s="25"/>
      <c r="T107" s="25"/>
      <c r="U107" s="25"/>
      <c r="V107" s="25"/>
    </row>
    <row r="108" spans="1:22" ht="15.75" customHeight="1" x14ac:dyDescent="0.25">
      <c r="A108" s="215"/>
      <c r="B108" s="505"/>
      <c r="C108" s="505"/>
      <c r="D108" s="505"/>
      <c r="E108" s="505"/>
      <c r="F108" s="505">
        <f t="shared" ref="F108:M108" si="42">SUM(F106:F107)</f>
        <v>6084.2</v>
      </c>
      <c r="G108" s="505">
        <f t="shared" si="42"/>
        <v>10644.9</v>
      </c>
      <c r="H108" s="505">
        <f t="shared" si="42"/>
        <v>18230.8</v>
      </c>
      <c r="I108" s="505">
        <f t="shared" si="42"/>
        <v>20392.2</v>
      </c>
      <c r="J108" s="505">
        <f t="shared" si="42"/>
        <v>21839.9</v>
      </c>
      <c r="K108" s="505">
        <f t="shared" si="42"/>
        <v>22823.3</v>
      </c>
      <c r="L108" s="505">
        <f t="shared" si="42"/>
        <v>23689.859</v>
      </c>
      <c r="M108" s="505">
        <f t="shared" si="42"/>
        <v>24430.712</v>
      </c>
      <c r="N108" s="25"/>
      <c r="O108" s="25"/>
      <c r="P108" s="25"/>
      <c r="Q108" s="25"/>
      <c r="R108" s="25"/>
      <c r="S108" s="25"/>
      <c r="T108" s="25"/>
      <c r="U108" s="25"/>
      <c r="V108" s="25"/>
    </row>
    <row r="109" spans="1:22" ht="15.75" customHeight="1" x14ac:dyDescent="0.25">
      <c r="A109" s="215"/>
      <c r="B109" s="505"/>
      <c r="C109" s="505"/>
      <c r="D109" s="505"/>
      <c r="E109" s="505"/>
      <c r="F109" s="505">
        <f t="shared" ref="F109:M109" si="43">F103+F108</f>
        <v>32618.5</v>
      </c>
      <c r="G109" s="505">
        <f t="shared" si="43"/>
        <v>38239.4</v>
      </c>
      <c r="H109" s="505">
        <f t="shared" si="43"/>
        <v>47353.5</v>
      </c>
      <c r="I109" s="505">
        <f t="shared" si="43"/>
        <v>49695.3</v>
      </c>
      <c r="J109" s="505">
        <f t="shared" si="43"/>
        <v>51359.100000000006</v>
      </c>
      <c r="K109" s="505">
        <f t="shared" si="43"/>
        <v>52402.399999999994</v>
      </c>
      <c r="L109" s="505">
        <f t="shared" si="43"/>
        <v>53693.9</v>
      </c>
      <c r="M109" s="505">
        <f t="shared" si="43"/>
        <v>54822.399999999994</v>
      </c>
      <c r="N109" s="25"/>
      <c r="O109" s="25"/>
      <c r="P109" s="25"/>
      <c r="Q109" s="25"/>
      <c r="R109" s="25"/>
      <c r="S109" s="25"/>
      <c r="T109" s="25"/>
      <c r="U109" s="25"/>
      <c r="V109" s="25"/>
    </row>
    <row r="110" spans="1:22" ht="15.75" customHeight="1" x14ac:dyDescent="0.25">
      <c r="A110" s="215"/>
      <c r="B110" s="505"/>
      <c r="C110" s="505"/>
      <c r="D110" s="505"/>
      <c r="E110" s="505"/>
      <c r="F110" s="505">
        <f t="shared" ref="F110:M110" si="44">F106/F109</f>
        <v>0.16555022456581389</v>
      </c>
      <c r="G110" s="505">
        <f t="shared" si="44"/>
        <v>0.24058954899919976</v>
      </c>
      <c r="H110" s="505">
        <f t="shared" si="44"/>
        <v>0.34210776394564285</v>
      </c>
      <c r="I110" s="505">
        <f t="shared" si="44"/>
        <v>0.36220729123277251</v>
      </c>
      <c r="J110" s="505">
        <f t="shared" si="44"/>
        <v>0.37578540122393106</v>
      </c>
      <c r="K110" s="505">
        <f t="shared" si="44"/>
        <v>0.38770361662824604</v>
      </c>
      <c r="L110" s="505">
        <f t="shared" si="44"/>
        <v>0.39483069771426549</v>
      </c>
      <c r="M110" s="596">
        <f t="shared" si="44"/>
        <v>0.40129582068643477</v>
      </c>
      <c r="N110" s="25"/>
      <c r="O110" s="25"/>
      <c r="P110" s="25"/>
      <c r="Q110" s="25"/>
      <c r="R110" s="25"/>
      <c r="S110" s="25"/>
      <c r="T110" s="25"/>
      <c r="U110" s="25"/>
      <c r="V110" s="25"/>
    </row>
    <row r="111" spans="1:22" ht="15.75" customHeight="1" x14ac:dyDescent="0.25">
      <c r="A111" s="215"/>
      <c r="B111" s="505"/>
      <c r="C111" s="505"/>
      <c r="D111" s="505"/>
      <c r="E111" s="505"/>
      <c r="F111" s="505">
        <f t="shared" ref="F111:M111" si="45">F107/F109</f>
        <v>2.0975826601468493E-2</v>
      </c>
      <c r="G111" s="505">
        <f t="shared" si="45"/>
        <v>3.7785634711841716E-2</v>
      </c>
      <c r="H111" s="505">
        <f t="shared" si="45"/>
        <v>4.2885953519803184E-2</v>
      </c>
      <c r="I111" s="505">
        <f t="shared" si="45"/>
        <v>4.8137349004835461E-2</v>
      </c>
      <c r="J111" s="505">
        <f t="shared" si="45"/>
        <v>4.9453748215992875E-2</v>
      </c>
      <c r="K111" s="505">
        <f t="shared" si="45"/>
        <v>4.783559531624506E-2</v>
      </c>
      <c r="L111" s="505">
        <f t="shared" si="45"/>
        <v>4.6371356895289782E-2</v>
      </c>
      <c r="M111" s="596">
        <f t="shared" si="45"/>
        <v>4.4337934858743877E-2</v>
      </c>
      <c r="N111" s="25"/>
      <c r="O111" s="25"/>
      <c r="P111" s="25"/>
      <c r="Q111" s="25"/>
      <c r="R111" s="25"/>
      <c r="S111" s="25"/>
      <c r="T111" s="25"/>
      <c r="U111" s="25"/>
      <c r="V111" s="25"/>
    </row>
    <row r="112" spans="1:22" ht="15.75" customHeight="1" x14ac:dyDescent="0.25">
      <c r="A112" s="94"/>
      <c r="B112" s="505"/>
      <c r="C112" s="505"/>
      <c r="D112" s="505"/>
      <c r="E112" s="505"/>
      <c r="F112" s="505"/>
      <c r="G112" s="505"/>
      <c r="H112" s="505"/>
      <c r="I112" s="505"/>
      <c r="J112" s="505"/>
      <c r="K112" s="505"/>
      <c r="L112" s="505"/>
      <c r="M112" s="505"/>
      <c r="N112" s="25"/>
      <c r="O112" s="25"/>
      <c r="P112" s="25"/>
      <c r="Q112" s="25"/>
      <c r="R112" s="25"/>
      <c r="S112" s="25"/>
      <c r="T112" s="25"/>
      <c r="U112" s="25"/>
      <c r="V112" s="25"/>
    </row>
    <row r="113" spans="1:22" ht="15.75" customHeight="1" x14ac:dyDescent="0.25">
      <c r="A113" s="94" t="s">
        <v>111</v>
      </c>
      <c r="B113" s="505"/>
      <c r="C113" s="505"/>
      <c r="D113" s="505"/>
      <c r="E113" s="505"/>
      <c r="F113" s="505">
        <v>21200</v>
      </c>
      <c r="G113" s="505">
        <v>19800</v>
      </c>
      <c r="H113" s="505">
        <v>18000</v>
      </c>
      <c r="I113" s="505">
        <v>16900</v>
      </c>
      <c r="J113" s="505">
        <v>16400</v>
      </c>
      <c r="K113" s="505">
        <v>15900</v>
      </c>
      <c r="L113" s="505">
        <v>15600</v>
      </c>
      <c r="M113" s="505">
        <v>15000</v>
      </c>
      <c r="N113" s="25"/>
      <c r="O113" s="25"/>
      <c r="P113" s="25"/>
      <c r="Q113" s="25"/>
      <c r="R113" s="25"/>
      <c r="S113" s="25"/>
      <c r="T113" s="25"/>
      <c r="U113" s="25"/>
      <c r="V113" s="25"/>
    </row>
    <row r="114" spans="1:22" ht="15.75" customHeight="1" x14ac:dyDescent="0.25">
      <c r="A114" s="215" t="s">
        <v>146</v>
      </c>
      <c r="B114" s="505"/>
      <c r="C114" s="505"/>
      <c r="D114" s="505"/>
      <c r="E114" s="505"/>
      <c r="F114" s="505">
        <v>1800</v>
      </c>
      <c r="G114" s="589">
        <v>4200</v>
      </c>
      <c r="H114" s="589">
        <v>6200</v>
      </c>
      <c r="I114" s="589">
        <v>6800</v>
      </c>
      <c r="J114" s="589">
        <v>7200</v>
      </c>
      <c r="K114" s="589">
        <v>7625</v>
      </c>
      <c r="L114" s="589">
        <v>8100</v>
      </c>
      <c r="M114" s="589">
        <v>8900</v>
      </c>
      <c r="N114" s="25"/>
      <c r="O114" s="25"/>
      <c r="P114" s="25"/>
      <c r="Q114" s="25"/>
      <c r="R114" s="25"/>
      <c r="S114" s="25"/>
      <c r="T114" s="25"/>
      <c r="U114" s="25"/>
      <c r="V114" s="25"/>
    </row>
    <row r="115" spans="1:22" ht="15.75" customHeight="1" x14ac:dyDescent="0.25">
      <c r="A115" s="215" t="s">
        <v>610</v>
      </c>
      <c r="B115" s="505"/>
      <c r="C115" s="505"/>
      <c r="D115" s="505"/>
      <c r="E115" s="505"/>
      <c r="F115" s="505"/>
      <c r="G115" s="589">
        <v>8.343</v>
      </c>
      <c r="H115" s="589">
        <v>119.12913495999999</v>
      </c>
      <c r="I115" s="589">
        <v>283.12882497999999</v>
      </c>
      <c r="J115" s="589">
        <v>465.51035006000001</v>
      </c>
      <c r="K115" s="589">
        <v>738.89429144999997</v>
      </c>
      <c r="L115" s="589">
        <v>1006.27252977</v>
      </c>
      <c r="M115" s="591">
        <v>1578.6</v>
      </c>
      <c r="N115" s="25"/>
      <c r="O115" s="25"/>
      <c r="P115" s="25"/>
      <c r="Q115" s="25"/>
      <c r="R115" s="25"/>
      <c r="S115" s="25"/>
      <c r="T115" s="25"/>
      <c r="U115" s="25"/>
      <c r="V115" s="25"/>
    </row>
    <row r="116" spans="1:22" ht="15.75" customHeight="1" x14ac:dyDescent="0.25">
      <c r="A116" s="215" t="s">
        <v>612</v>
      </c>
      <c r="B116" s="505"/>
      <c r="C116" s="505"/>
      <c r="D116" s="505"/>
      <c r="E116" s="505"/>
      <c r="F116" s="505">
        <f t="shared" ref="F116:M116" si="46">SUM(F113:F115)</f>
        <v>23000</v>
      </c>
      <c r="G116" s="505">
        <f t="shared" si="46"/>
        <v>24008.343000000001</v>
      </c>
      <c r="H116" s="505">
        <f t="shared" si="46"/>
        <v>24319.12913496</v>
      </c>
      <c r="I116" s="505">
        <f t="shared" si="46"/>
        <v>23983.128824979998</v>
      </c>
      <c r="J116" s="505">
        <f t="shared" si="46"/>
        <v>24065.510350060002</v>
      </c>
      <c r="K116" s="505">
        <f t="shared" si="46"/>
        <v>24263.89429145</v>
      </c>
      <c r="L116" s="505">
        <f t="shared" si="46"/>
        <v>24706.272529770002</v>
      </c>
      <c r="M116" s="505">
        <f t="shared" si="46"/>
        <v>25478.6</v>
      </c>
      <c r="N116" s="25"/>
      <c r="O116" s="25"/>
      <c r="P116" s="25"/>
      <c r="Q116" s="25"/>
      <c r="R116" s="25"/>
      <c r="S116" s="25"/>
      <c r="T116" s="25"/>
      <c r="U116" s="25"/>
      <c r="V116" s="25"/>
    </row>
    <row r="117" spans="1:22" ht="15.75" customHeight="1" x14ac:dyDescent="0.25">
      <c r="A117" s="215"/>
      <c r="B117" s="505"/>
      <c r="C117" s="505"/>
      <c r="D117" s="505"/>
      <c r="E117" s="505"/>
      <c r="F117" s="505"/>
      <c r="G117" s="505"/>
      <c r="H117" s="505"/>
      <c r="I117" s="505"/>
      <c r="J117" s="505"/>
      <c r="K117" s="505"/>
      <c r="L117" s="505"/>
      <c r="M117" s="505"/>
      <c r="N117" s="25"/>
      <c r="O117" s="25"/>
      <c r="P117" s="25"/>
      <c r="Q117" s="25"/>
      <c r="R117" s="25"/>
      <c r="S117" s="25"/>
      <c r="T117" s="25"/>
      <c r="U117" s="25"/>
      <c r="V117" s="25"/>
    </row>
    <row r="118" spans="1:22" ht="15.75" customHeight="1" x14ac:dyDescent="0.25">
      <c r="A118" s="215" t="s">
        <v>357</v>
      </c>
      <c r="B118" s="215">
        <v>716.3</v>
      </c>
      <c r="C118" s="215">
        <v>1242.9000000000001</v>
      </c>
      <c r="D118" s="215">
        <v>1651.4</v>
      </c>
      <c r="E118" s="215">
        <v>2677.4</v>
      </c>
      <c r="F118" s="215">
        <v>4218.5</v>
      </c>
      <c r="G118" s="215">
        <v>5039.3999999999996</v>
      </c>
      <c r="H118" s="215">
        <v>6953.5</v>
      </c>
      <c r="I118" s="94">
        <v>7995.3</v>
      </c>
      <c r="J118" s="94">
        <v>8459.1</v>
      </c>
      <c r="K118" s="94">
        <v>8560.7999999999993</v>
      </c>
      <c r="L118" s="94">
        <v>8793.9</v>
      </c>
      <c r="M118" s="505">
        <v>8922.4</v>
      </c>
      <c r="N118" s="25"/>
      <c r="O118" s="25"/>
      <c r="P118" s="25"/>
      <c r="Q118" s="25"/>
      <c r="R118" s="25"/>
      <c r="S118" s="25"/>
      <c r="T118" s="25"/>
      <c r="U118" s="25"/>
      <c r="V118" s="25"/>
    </row>
    <row r="119" spans="1:22" ht="15.75" customHeight="1" x14ac:dyDescent="0.25">
      <c r="A119" s="215" t="s">
        <v>610</v>
      </c>
      <c r="B119" s="505"/>
      <c r="C119" s="505"/>
      <c r="D119" s="505"/>
      <c r="E119" s="505"/>
      <c r="F119" s="505"/>
      <c r="G119" s="589">
        <v>8.343</v>
      </c>
      <c r="H119" s="589">
        <v>119.12913495999999</v>
      </c>
      <c r="I119" s="589">
        <v>283.12882497999999</v>
      </c>
      <c r="J119" s="589">
        <v>465.51035006000001</v>
      </c>
      <c r="K119" s="589">
        <v>738.89429144999997</v>
      </c>
      <c r="L119" s="589">
        <v>1006.27252977</v>
      </c>
      <c r="M119" s="591">
        <v>1578.6</v>
      </c>
      <c r="N119" s="25"/>
      <c r="O119" s="25"/>
      <c r="P119" s="25"/>
      <c r="Q119" s="25"/>
      <c r="R119" s="25"/>
      <c r="S119" s="25"/>
      <c r="T119" s="25"/>
      <c r="U119" s="25"/>
      <c r="V119" s="25"/>
    </row>
    <row r="120" spans="1:22" ht="15.75" customHeight="1" x14ac:dyDescent="0.25">
      <c r="A120" s="94" t="s">
        <v>677</v>
      </c>
      <c r="B120" s="505"/>
      <c r="C120" s="505"/>
      <c r="D120" s="505"/>
      <c r="E120" s="505"/>
      <c r="F120" s="505">
        <v>684.2</v>
      </c>
      <c r="G120" s="589">
        <v>1444.9</v>
      </c>
      <c r="H120" s="589">
        <v>2030.8</v>
      </c>
      <c r="I120" s="589">
        <v>2392.1999999999998</v>
      </c>
      <c r="J120" s="589">
        <v>2539.9</v>
      </c>
      <c r="K120" s="589">
        <v>2506.6999999999998</v>
      </c>
      <c r="L120" s="589">
        <v>2489.8589999999999</v>
      </c>
      <c r="M120" s="589">
        <v>2430.712</v>
      </c>
      <c r="N120" s="25"/>
      <c r="O120" s="25"/>
      <c r="P120" s="25"/>
      <c r="Q120" s="25"/>
      <c r="R120" s="25"/>
      <c r="S120" s="25"/>
      <c r="T120" s="25"/>
      <c r="U120" s="25"/>
      <c r="V120" s="25"/>
    </row>
    <row r="121" spans="1:22" ht="15.75" customHeight="1" x14ac:dyDescent="0.25">
      <c r="A121" s="94"/>
      <c r="B121" s="505">
        <f t="shared" ref="B121:M121" si="47">B118-B119-B120</f>
        <v>716.3</v>
      </c>
      <c r="C121" s="505">
        <f t="shared" si="47"/>
        <v>1242.9000000000001</v>
      </c>
      <c r="D121" s="505">
        <f t="shared" si="47"/>
        <v>1651.4</v>
      </c>
      <c r="E121" s="505">
        <f t="shared" si="47"/>
        <v>2677.4</v>
      </c>
      <c r="F121" s="505">
        <f t="shared" si="47"/>
        <v>3534.3</v>
      </c>
      <c r="G121" s="505">
        <f t="shared" si="47"/>
        <v>3586.1569999999997</v>
      </c>
      <c r="H121" s="505">
        <f t="shared" si="47"/>
        <v>4803.5708650400002</v>
      </c>
      <c r="I121" s="505">
        <f t="shared" si="47"/>
        <v>5319.9711750200004</v>
      </c>
      <c r="J121" s="505">
        <f t="shared" si="47"/>
        <v>5453.6896499400009</v>
      </c>
      <c r="K121" s="505">
        <f t="shared" si="47"/>
        <v>5315.2057085499991</v>
      </c>
      <c r="L121" s="505">
        <f t="shared" si="47"/>
        <v>5297.7684702299994</v>
      </c>
      <c r="M121" s="505">
        <f t="shared" si="47"/>
        <v>4913.0879999999997</v>
      </c>
      <c r="N121" s="25"/>
      <c r="O121" s="25"/>
      <c r="P121" s="25"/>
      <c r="Q121" s="25"/>
      <c r="R121" s="25"/>
      <c r="S121" s="25"/>
      <c r="T121" s="25"/>
      <c r="U121" s="25"/>
      <c r="V121" s="25"/>
    </row>
    <row r="122" spans="1:22" ht="15.75" customHeight="1" x14ac:dyDescent="0.25">
      <c r="A122" s="94"/>
      <c r="B122" s="505"/>
      <c r="C122" s="505"/>
      <c r="D122" s="505"/>
      <c r="E122" s="505"/>
      <c r="F122" s="505"/>
      <c r="G122" s="589"/>
      <c r="H122" s="589"/>
      <c r="I122" s="589"/>
      <c r="J122" s="589"/>
      <c r="K122" s="589"/>
      <c r="L122" s="589"/>
      <c r="M122" s="589"/>
      <c r="N122" s="25"/>
      <c r="O122" s="25"/>
      <c r="P122" s="25"/>
      <c r="Q122" s="25"/>
      <c r="R122" s="25"/>
      <c r="S122" s="25"/>
      <c r="T122" s="25"/>
      <c r="U122" s="25"/>
      <c r="V122" s="25"/>
    </row>
    <row r="123" spans="1:22" ht="15.75" customHeight="1" x14ac:dyDescent="0.25">
      <c r="A123" s="94"/>
      <c r="B123" s="505"/>
      <c r="C123" s="505"/>
      <c r="D123" s="505"/>
      <c r="E123" s="505"/>
      <c r="F123" s="505"/>
      <c r="G123" s="589"/>
      <c r="H123" s="589"/>
      <c r="I123" s="589"/>
      <c r="J123" s="589"/>
      <c r="K123" s="589"/>
      <c r="L123" s="589"/>
      <c r="M123" s="589"/>
      <c r="N123" s="25"/>
      <c r="O123" s="25"/>
      <c r="P123" s="25"/>
      <c r="Q123" s="25"/>
      <c r="R123" s="25"/>
      <c r="S123" s="25"/>
      <c r="T123" s="25"/>
      <c r="U123" s="25"/>
      <c r="V123" s="25"/>
    </row>
    <row r="124" spans="1:22" ht="15.75" customHeight="1" x14ac:dyDescent="0.25">
      <c r="A124" s="94"/>
      <c r="B124" s="505"/>
      <c r="C124" s="505"/>
      <c r="D124" s="505"/>
      <c r="E124" s="505"/>
      <c r="F124" s="505"/>
      <c r="G124" s="589"/>
      <c r="H124" s="589"/>
      <c r="I124" s="589"/>
      <c r="J124" s="589"/>
      <c r="K124" s="589"/>
      <c r="L124" s="589"/>
      <c r="M124" s="589"/>
      <c r="N124" s="25"/>
      <c r="O124" s="25"/>
      <c r="P124" s="25"/>
      <c r="Q124" s="25"/>
      <c r="R124" s="25"/>
      <c r="S124" s="25"/>
      <c r="T124" s="25"/>
      <c r="U124" s="25"/>
      <c r="V124" s="25"/>
    </row>
    <row r="125" spans="1:22" ht="15.75" customHeight="1" x14ac:dyDescent="0.25">
      <c r="A125" s="94"/>
      <c r="B125" s="505"/>
      <c r="C125" s="505"/>
      <c r="D125" s="505"/>
      <c r="E125" s="505"/>
      <c r="F125" s="505"/>
      <c r="G125" s="589"/>
      <c r="H125" s="589"/>
      <c r="I125" s="589"/>
      <c r="J125" s="589"/>
      <c r="K125" s="589"/>
      <c r="L125" s="589"/>
      <c r="M125" s="589"/>
      <c r="N125" s="25"/>
      <c r="O125" s="25"/>
      <c r="P125" s="25"/>
      <c r="Q125" s="25"/>
      <c r="R125" s="25"/>
      <c r="S125" s="25"/>
      <c r="T125" s="25"/>
      <c r="U125" s="25"/>
      <c r="V125" s="25"/>
    </row>
    <row r="126" spans="1:22" ht="15.75" customHeight="1" x14ac:dyDescent="0.25">
      <c r="A126" s="94"/>
      <c r="B126" s="505"/>
      <c r="C126" s="505"/>
      <c r="D126" s="505"/>
      <c r="E126" s="505"/>
      <c r="F126" s="505"/>
      <c r="G126" s="589"/>
      <c r="H126" s="589"/>
      <c r="I126" s="589"/>
      <c r="J126" s="589"/>
      <c r="K126" s="589"/>
      <c r="L126" s="589"/>
      <c r="M126" s="589"/>
      <c r="N126" s="25"/>
      <c r="O126" s="25"/>
      <c r="P126" s="25"/>
      <c r="Q126" s="25"/>
      <c r="R126" s="25"/>
      <c r="S126" s="25"/>
      <c r="T126" s="25"/>
      <c r="U126" s="25"/>
      <c r="V126" s="25"/>
    </row>
    <row r="127" spans="1:22" ht="15.75" customHeight="1" x14ac:dyDescent="0.25">
      <c r="A127" s="94"/>
      <c r="B127" s="505"/>
      <c r="C127" s="505"/>
      <c r="D127" s="505"/>
      <c r="E127" s="505"/>
      <c r="F127" s="505"/>
      <c r="G127" s="589"/>
      <c r="H127" s="589"/>
      <c r="I127" s="589"/>
      <c r="J127" s="589"/>
      <c r="K127" s="589"/>
      <c r="L127" s="589"/>
      <c r="M127" s="589"/>
      <c r="N127" s="25"/>
      <c r="O127" s="25"/>
      <c r="P127" s="25"/>
      <c r="Q127" s="25"/>
      <c r="R127" s="25"/>
      <c r="S127" s="25"/>
      <c r="T127" s="25"/>
      <c r="U127" s="25"/>
      <c r="V127" s="25"/>
    </row>
    <row r="128" spans="1:22" ht="15.75" customHeight="1" x14ac:dyDescent="0.25">
      <c r="A128" s="94"/>
      <c r="B128" s="505"/>
      <c r="C128" s="505"/>
      <c r="D128" s="505"/>
      <c r="E128" s="505"/>
      <c r="F128" s="505"/>
      <c r="G128" s="589"/>
      <c r="H128" s="589"/>
      <c r="I128" s="589"/>
      <c r="J128" s="589"/>
      <c r="K128" s="589"/>
      <c r="L128" s="589"/>
      <c r="M128" s="589"/>
      <c r="N128" s="25"/>
      <c r="O128" s="25"/>
      <c r="P128" s="25"/>
      <c r="Q128" s="25"/>
      <c r="R128" s="25"/>
      <c r="S128" s="25"/>
      <c r="T128" s="25"/>
      <c r="U128" s="25"/>
      <c r="V128" s="25"/>
    </row>
    <row r="129" spans="1:22" ht="15.75" customHeight="1" x14ac:dyDescent="0.25">
      <c r="A129" s="94"/>
      <c r="B129" s="505"/>
      <c r="C129" s="505"/>
      <c r="D129" s="505"/>
      <c r="E129" s="505"/>
      <c r="F129" s="505"/>
      <c r="G129" s="589"/>
      <c r="H129" s="589"/>
      <c r="I129" s="589"/>
      <c r="J129" s="589"/>
      <c r="K129" s="589"/>
      <c r="L129" s="589"/>
      <c r="M129" s="589"/>
      <c r="N129" s="25"/>
      <c r="O129" s="25"/>
      <c r="P129" s="25"/>
      <c r="Q129" s="25"/>
      <c r="R129" s="25"/>
      <c r="S129" s="25"/>
      <c r="T129" s="25"/>
      <c r="U129" s="25"/>
      <c r="V129" s="25"/>
    </row>
    <row r="130" spans="1:22" ht="15.75" customHeight="1" x14ac:dyDescent="0.25">
      <c r="A130" s="94"/>
      <c r="B130" s="505"/>
      <c r="C130" s="505"/>
      <c r="D130" s="505"/>
      <c r="E130" s="505"/>
      <c r="F130" s="505"/>
      <c r="G130" s="589"/>
      <c r="H130" s="589"/>
      <c r="I130" s="589"/>
      <c r="J130" s="589"/>
      <c r="K130" s="589"/>
      <c r="L130" s="589"/>
      <c r="M130" s="589"/>
      <c r="N130" s="25"/>
      <c r="O130" s="25"/>
      <c r="P130" s="25"/>
      <c r="Q130" s="25"/>
      <c r="R130" s="25"/>
      <c r="S130" s="25"/>
      <c r="T130" s="25"/>
      <c r="U130" s="25"/>
      <c r="V130" s="25"/>
    </row>
  </sheetData>
  <mergeCells count="5">
    <mergeCell ref="A32:H32"/>
    <mergeCell ref="A42:F42"/>
    <mergeCell ref="A52:F52"/>
    <mergeCell ref="A61:E61"/>
    <mergeCell ref="O6:S17"/>
  </mergeCells>
  <conditionalFormatting sqref="A73:H79">
    <cfRule type="notContainsBlanks" dxfId="0" priority="1">
      <formula>LEN(TRIM(A73))&gt;0</formula>
    </cfRule>
  </conditionalFormatting>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7"/>
  <sheetViews>
    <sheetView workbookViewId="0">
      <pane xSplit="1" ySplit="1" topLeftCell="B2" activePane="bottomRight" state="frozen"/>
      <selection pane="topRight" activeCell="B1" sqref="B1"/>
      <selection pane="bottomLeft" activeCell="A2" sqref="A2"/>
      <selection pane="bottomRight" activeCell="P5" sqref="P5:U16"/>
    </sheetView>
  </sheetViews>
  <sheetFormatPr defaultColWidth="17.25" defaultRowHeight="15" customHeight="1" x14ac:dyDescent="0.2"/>
  <cols>
    <col min="1" max="1" width="20.75" customWidth="1"/>
    <col min="2" max="4" width="7.125" customWidth="1"/>
    <col min="5" max="5" width="7.25" customWidth="1"/>
    <col min="6" max="12" width="7.125" customWidth="1"/>
    <col min="13" max="13" width="8.375" customWidth="1"/>
    <col min="14" max="23" width="10.75" customWidth="1"/>
  </cols>
  <sheetData>
    <row r="1" spans="1:23" ht="15.75" customHeight="1" x14ac:dyDescent="0.25">
      <c r="A1" s="12"/>
      <c r="B1" s="96">
        <v>1984</v>
      </c>
      <c r="C1" s="96">
        <v>1988</v>
      </c>
      <c r="D1" s="96">
        <v>1992</v>
      </c>
      <c r="E1" s="96">
        <v>1996</v>
      </c>
      <c r="F1" s="96">
        <v>2000</v>
      </c>
      <c r="G1" s="96">
        <v>2004</v>
      </c>
      <c r="H1" s="96">
        <v>2008</v>
      </c>
      <c r="I1" s="96">
        <v>2010</v>
      </c>
      <c r="J1" s="96">
        <v>2011</v>
      </c>
      <c r="K1" s="96">
        <v>2012</v>
      </c>
      <c r="L1" s="12">
        <v>2013</v>
      </c>
      <c r="M1" s="12">
        <v>2014</v>
      </c>
      <c r="N1" s="12"/>
      <c r="O1" s="12"/>
      <c r="P1" s="12"/>
      <c r="Q1" s="12"/>
      <c r="R1" s="12"/>
      <c r="S1" s="12"/>
      <c r="T1" s="12"/>
      <c r="U1" s="12"/>
      <c r="V1" s="12"/>
      <c r="W1" s="12"/>
    </row>
    <row r="2" spans="1:23" ht="18" customHeight="1" x14ac:dyDescent="0.25">
      <c r="A2" s="98" t="s">
        <v>112</v>
      </c>
      <c r="B2" s="100"/>
      <c r="C2" s="100"/>
      <c r="D2" s="100"/>
      <c r="E2" s="100"/>
      <c r="F2" s="100"/>
      <c r="G2" s="100"/>
      <c r="H2" s="100"/>
      <c r="I2" s="100"/>
      <c r="J2" s="100"/>
      <c r="K2" s="100"/>
      <c r="L2" s="101"/>
      <c r="M2" s="101"/>
      <c r="N2" s="103"/>
      <c r="O2" s="103"/>
      <c r="P2" s="103"/>
      <c r="Q2" s="103"/>
      <c r="R2" s="103"/>
      <c r="S2" s="103"/>
      <c r="T2" s="103"/>
      <c r="U2" s="103"/>
      <c r="V2" s="103"/>
      <c r="W2" s="103"/>
    </row>
    <row r="3" spans="1:23" ht="15.75" customHeight="1" x14ac:dyDescent="0.25">
      <c r="A3" s="104" t="s">
        <v>111</v>
      </c>
      <c r="B3" s="207">
        <f>'Wireline (MS)'!B37</f>
        <v>91.584421678266992</v>
      </c>
      <c r="C3" s="207">
        <f>'Wireline (MS)'!C37</f>
        <v>89.346041265081737</v>
      </c>
      <c r="D3" s="207">
        <f>'Wireline (MS)'!D37</f>
        <v>88.3</v>
      </c>
      <c r="E3" s="207">
        <f>'Wireline (MS)'!E37</f>
        <v>82.066480446927372</v>
      </c>
      <c r="F3" s="207">
        <f>'Wireline (MS)'!F37</f>
        <v>91.723082746626417</v>
      </c>
      <c r="G3" s="207">
        <f>'Wireline (MS)'!G37</f>
        <v>80.673737373737367</v>
      </c>
      <c r="H3" s="207">
        <f>'Wireline (MS)'!H37</f>
        <v>91.032430439344267</v>
      </c>
      <c r="I3" s="207">
        <f>'Wireline (MS)'!I37</f>
        <v>86.23704311560806</v>
      </c>
      <c r="J3" s="207">
        <f>'Wireline (MS)'!J37</f>
        <v>86.972293984521713</v>
      </c>
      <c r="K3" s="207">
        <f>'Wireline (MS)'!K37</f>
        <v>86.241665718000078</v>
      </c>
      <c r="L3" s="207">
        <f>'Wireline (MS)'!L37</f>
        <v>85.347979240751926</v>
      </c>
      <c r="M3" s="207">
        <f>'Wireline (MS)'!M37</f>
        <v>86.757999999999996</v>
      </c>
      <c r="N3" s="25"/>
      <c r="O3" s="25"/>
      <c r="P3" s="25"/>
      <c r="Q3" s="25"/>
      <c r="R3" s="25"/>
      <c r="S3" s="25"/>
      <c r="T3" s="25"/>
      <c r="U3" s="25"/>
      <c r="V3" s="25"/>
      <c r="W3" s="25"/>
    </row>
    <row r="4" spans="1:23" ht="18" customHeight="1" x14ac:dyDescent="0.25">
      <c r="A4" s="104" t="s">
        <v>102</v>
      </c>
      <c r="B4" s="207"/>
      <c r="C4" s="207">
        <f>'Wireless (MS)'!C22</f>
        <v>100</v>
      </c>
      <c r="D4" s="207">
        <f>'Wireless (MS)'!D22</f>
        <v>100</v>
      </c>
      <c r="E4" s="207">
        <f>'Wireless (MS)'!E22</f>
        <v>100</v>
      </c>
      <c r="F4" s="207">
        <f>'Wireless (MS)'!F22</f>
        <v>95.65</v>
      </c>
      <c r="G4" s="207">
        <f>'Wireless (MS)'!G22</f>
        <v>97.985869565217385</v>
      </c>
      <c r="H4" s="207">
        <f>'Wireless (MS)'!H22</f>
        <v>98.295061728395055</v>
      </c>
      <c r="I4" s="207">
        <f>'Wireless (MS)'!I22</f>
        <v>96.713888888888903</v>
      </c>
      <c r="J4" s="207">
        <f>'Wireless (MS)'!J22</f>
        <v>95.188601036269432</v>
      </c>
      <c r="K4" s="207">
        <f>'Wireless (MS)'!K22</f>
        <v>94.997194412450924</v>
      </c>
      <c r="L4" s="207">
        <f>'Wireless (MS)'!L22</f>
        <v>93.701886792452839</v>
      </c>
      <c r="M4" s="207">
        <f>'Wireless (MS)'!M22</f>
        <v>94.402272727272731</v>
      </c>
      <c r="N4" s="25"/>
      <c r="O4" s="25"/>
      <c r="P4" s="25"/>
      <c r="Q4" s="25"/>
      <c r="R4" s="25"/>
      <c r="S4" s="25"/>
      <c r="T4" s="25"/>
      <c r="U4" s="25"/>
      <c r="V4" s="25"/>
      <c r="W4" s="25"/>
    </row>
    <row r="5" spans="1:23" ht="15.75" customHeight="1" x14ac:dyDescent="0.25">
      <c r="A5" s="220" t="s">
        <v>146</v>
      </c>
      <c r="B5" s="134"/>
      <c r="C5" s="134"/>
      <c r="D5" s="134"/>
      <c r="E5" s="242">
        <f>'ISPs (MS)'!B42</f>
        <v>57.94979079497908</v>
      </c>
      <c r="F5" s="242">
        <f>'ISPs (MS)'!C42</f>
        <v>38.711469873066662</v>
      </c>
      <c r="G5" s="242">
        <f>'ISPs (MS)'!D42</f>
        <v>50.71394032325157</v>
      </c>
      <c r="H5" s="242">
        <f>'ISPs (MS)'!E42</f>
        <v>51.170725978313371</v>
      </c>
      <c r="I5" s="242">
        <f>'ISPs (MS)'!F42</f>
        <v>57.740383031395794</v>
      </c>
      <c r="J5" s="242">
        <f>'ISPs (MS)'!G42</f>
        <v>58.488443355127721</v>
      </c>
      <c r="K5" s="242">
        <f>'ISPs (MS)'!H42</f>
        <v>58.817756078786914</v>
      </c>
      <c r="L5" s="242">
        <f>'ISPs (MS)'!I42</f>
        <v>60.531131114810492</v>
      </c>
      <c r="M5" s="242">
        <f>'ISPs (MS)'!J42</f>
        <v>58.688764044943824</v>
      </c>
      <c r="N5" s="25"/>
      <c r="O5" s="58"/>
      <c r="P5" s="715" t="s">
        <v>742</v>
      </c>
      <c r="Q5" s="623"/>
      <c r="R5" s="623"/>
      <c r="S5" s="623"/>
      <c r="T5" s="623"/>
      <c r="U5" s="623"/>
      <c r="V5" s="58"/>
      <c r="W5" s="58"/>
    </row>
    <row r="6" spans="1:23" ht="15.75" customHeight="1" x14ac:dyDescent="0.25">
      <c r="A6" s="215" t="s">
        <v>357</v>
      </c>
      <c r="B6" s="250">
        <f>'CableSatIPTV (MS)'!B48</f>
        <v>41.114058355437663</v>
      </c>
      <c r="C6" s="250">
        <f>'CableSatIPTV (MS)'!C48</f>
        <v>53.809638748089135</v>
      </c>
      <c r="D6" s="250">
        <f>'CableSatIPTV (MS)'!D48</f>
        <v>69.171611965604939</v>
      </c>
      <c r="E6" s="250">
        <f>'CableSatIPTV (MS)'!E48</f>
        <v>84.976171434974233</v>
      </c>
      <c r="F6" s="250">
        <f>'CableSatIPTV (MS)'!F48</f>
        <v>75.164345114247411</v>
      </c>
      <c r="G6" s="250">
        <f>'CableSatIPTV (MS)'!G48</f>
        <v>87.109576536889321</v>
      </c>
      <c r="H6" s="250">
        <f>'CableSatIPTV (MS)'!H48</f>
        <v>83.329258646724668</v>
      </c>
      <c r="I6" s="250">
        <f>'CableSatIPTV (MS)'!I48</f>
        <v>85.053719059947724</v>
      </c>
      <c r="J6" s="250">
        <f>'CableSatIPTV (MS)'!J48</f>
        <v>84.115331418235968</v>
      </c>
      <c r="K6" s="250">
        <f>'CableSatIPTV (MS)'!K48</f>
        <v>82.25633118400151</v>
      </c>
      <c r="L6" s="250">
        <f>'CableSatIPTV (MS)'!L48</f>
        <v>80.612231205722154</v>
      </c>
      <c r="M6" s="250">
        <f>'CableSatIPTV (MS)'!M48</f>
        <v>82.150542454944855</v>
      </c>
      <c r="N6" s="25"/>
      <c r="P6" s="623"/>
      <c r="Q6" s="623"/>
      <c r="R6" s="623"/>
      <c r="S6" s="623"/>
      <c r="T6" s="623"/>
      <c r="U6" s="623"/>
      <c r="V6" s="25"/>
      <c r="W6" s="25"/>
    </row>
    <row r="7" spans="1:23" ht="15.75" customHeight="1" x14ac:dyDescent="0.25">
      <c r="A7" s="220" t="s">
        <v>450</v>
      </c>
      <c r="B7" s="207">
        <f>'Total TV Universe (MS)'!D49</f>
        <v>57.503729293322898</v>
      </c>
      <c r="C7" s="207">
        <f>'Total TV Universe (MS)'!E49</f>
        <v>58.966196901439687</v>
      </c>
      <c r="D7" s="207">
        <f>'Total TV Universe (MS)'!F49</f>
        <v>58.380600135919273</v>
      </c>
      <c r="E7" s="207">
        <f>'Total TV Universe (MS)'!G49</f>
        <v>65.008684791906092</v>
      </c>
      <c r="F7" s="207">
        <f>'Total TV Universe (MS)'!H49</f>
        <v>63.311590326440694</v>
      </c>
      <c r="G7" s="207">
        <f>'Total TV Universe (MS)'!I49</f>
        <v>63.279932602081772</v>
      </c>
      <c r="H7" s="207">
        <f>'Total TV Universe (MS)'!J49</f>
        <v>69.859209112257815</v>
      </c>
      <c r="I7" s="207">
        <f>'Total TV Universe (MS)'!K49</f>
        <v>75.446807278507464</v>
      </c>
      <c r="J7" s="207">
        <f>'Total TV Universe (MS)'!L49</f>
        <v>77.626997806568042</v>
      </c>
      <c r="K7" s="207">
        <f>'Total TV Universe (MS)'!M49</f>
        <v>76.630864771075508</v>
      </c>
      <c r="L7" s="207">
        <f>'Total TV Universe (MS)'!N49</f>
        <v>79.77833442782881</v>
      </c>
      <c r="M7" s="207">
        <f>'Total TV Universe (MS)'!O49</f>
        <v>85.099415384243215</v>
      </c>
      <c r="N7" s="25"/>
      <c r="P7" s="623"/>
      <c r="Q7" s="623"/>
      <c r="R7" s="623"/>
      <c r="S7" s="623"/>
      <c r="T7" s="623"/>
      <c r="U7" s="623"/>
      <c r="V7" s="25"/>
      <c r="W7" s="25"/>
    </row>
    <row r="8" spans="1:23" ht="15.75" customHeight="1" x14ac:dyDescent="0.25">
      <c r="A8" s="220" t="s">
        <v>461</v>
      </c>
      <c r="B8" s="242" t="str">
        <f>'Pay &amp; Specialty (MS)'!B35</f>
        <v>N/A</v>
      </c>
      <c r="C8" s="242">
        <f>'Pay &amp; Specialty (MS)'!C35</f>
        <v>79.49438202247191</v>
      </c>
      <c r="D8" s="242">
        <f>'Pay &amp; Specialty (MS)'!E35</f>
        <v>66.171707356573137</v>
      </c>
      <c r="E8" s="242">
        <f>'Pay &amp; Specialty (MS)'!F35</f>
        <v>62.183963399951843</v>
      </c>
      <c r="F8" s="242">
        <f>'Pay &amp; Specialty (MS)'!H35</f>
        <v>44.866663360701992</v>
      </c>
      <c r="G8" s="242">
        <f>'Pay &amp; Specialty (MS)'!I35</f>
        <v>59.868264638647766</v>
      </c>
      <c r="H8" s="242">
        <f>'Pay &amp; Specialty (MS)'!J35</f>
        <v>71.34315442348219</v>
      </c>
      <c r="I8" s="242">
        <f>'Pay &amp; Specialty (MS)'!K35</f>
        <v>74.651989282281221</v>
      </c>
      <c r="J8" s="242">
        <f>'Pay &amp; Specialty (MS)'!L35</f>
        <v>80.013912945573367</v>
      </c>
      <c r="K8" s="242">
        <f>'Pay &amp; Specialty (MS)'!M35</f>
        <v>78.419778822745414</v>
      </c>
      <c r="L8" s="242">
        <f>'Pay &amp; Specialty (MS)'!N35</f>
        <v>74.981806377618739</v>
      </c>
      <c r="M8" s="242">
        <f>'Pay &amp; Specialty (MS)'!O35</f>
        <v>84.036144578313269</v>
      </c>
      <c r="N8" s="11"/>
      <c r="O8" s="25"/>
      <c r="P8" s="623"/>
      <c r="Q8" s="623"/>
      <c r="R8" s="623"/>
      <c r="S8" s="623"/>
      <c r="T8" s="623"/>
      <c r="U8" s="623"/>
      <c r="V8" s="25"/>
      <c r="W8" s="25"/>
    </row>
    <row r="9" spans="1:23" ht="15.75" customHeight="1" x14ac:dyDescent="0.25">
      <c r="A9" s="220" t="s">
        <v>465</v>
      </c>
      <c r="B9" s="242">
        <f>'Broadcast TV (MS)'!B44</f>
        <v>66.222669908560135</v>
      </c>
      <c r="C9" s="242">
        <f>'Broadcast TV (MS)'!C44</f>
        <v>66.972940770470885</v>
      </c>
      <c r="D9" s="242">
        <f>'Broadcast TV (MS)'!E44</f>
        <v>66.8150459841968</v>
      </c>
      <c r="E9" s="242">
        <f>'Broadcast TV (MS)'!F44</f>
        <v>70.469934211613051</v>
      </c>
      <c r="F9" s="242">
        <f>'Broadcast TV (MS)'!H44</f>
        <v>81.487181524245173</v>
      </c>
      <c r="G9" s="242">
        <f>'Broadcast TV (MS)'!I44</f>
        <v>84.815707840880307</v>
      </c>
      <c r="H9" s="242">
        <f>'Broadcast TV (MS)'!J44</f>
        <v>86.229549679315625</v>
      </c>
      <c r="I9" s="242">
        <f>'Broadcast TV (MS)'!K44</f>
        <v>87.809088577381516</v>
      </c>
      <c r="J9" s="242">
        <f>'Broadcast TV (MS)'!L44</f>
        <v>86.335147101407486</v>
      </c>
      <c r="K9" s="242">
        <f>'Broadcast TV (MS)'!M44</f>
        <v>86.07049798077179</v>
      </c>
      <c r="L9" s="242">
        <f>'Broadcast TV (MS)'!N44</f>
        <v>85.927874518161019</v>
      </c>
      <c r="M9" s="242">
        <f>'Broadcast TV (MS)'!O44</f>
        <v>86.564888392259419</v>
      </c>
      <c r="N9" s="11"/>
      <c r="O9" s="25"/>
      <c r="P9" s="623"/>
      <c r="Q9" s="623"/>
      <c r="R9" s="623"/>
      <c r="S9" s="623"/>
      <c r="T9" s="623"/>
      <c r="U9" s="623"/>
      <c r="V9" s="25"/>
      <c r="W9" s="25"/>
    </row>
    <row r="10" spans="1:23" ht="15.75" customHeight="1" x14ac:dyDescent="0.25">
      <c r="A10" s="220" t="s">
        <v>99</v>
      </c>
      <c r="B10" s="242">
        <f>'Radio (MS)'!B31</f>
        <v>47.550869404365507</v>
      </c>
      <c r="C10" s="242">
        <f>'Radio (MS)'!C31</f>
        <v>44.334423428407355</v>
      </c>
      <c r="D10" s="242">
        <f>'Radio (MS)'!D31</f>
        <v>45.926412551691058</v>
      </c>
      <c r="E10" s="242">
        <f>'Radio (MS)'!E31</f>
        <v>47.749593738569629</v>
      </c>
      <c r="F10" s="242">
        <f>'Radio (MS)'!F31</f>
        <v>53.609317897672632</v>
      </c>
      <c r="G10" s="242">
        <f>'Radio (MS)'!G31</f>
        <v>57.582137693038035</v>
      </c>
      <c r="H10" s="242">
        <f>'Radio (MS)'!H31</f>
        <v>61.710216864142076</v>
      </c>
      <c r="I10" s="242">
        <f>'Radio (MS)'!I31</f>
        <v>58.036196074199196</v>
      </c>
      <c r="J10" s="242">
        <f>'Radio (MS)'!J31</f>
        <v>53.993558489977353</v>
      </c>
      <c r="K10" s="242">
        <f>'Radio (MS)'!K31</f>
        <v>53.138349009385799</v>
      </c>
      <c r="L10" s="242">
        <f>'Radio (MS)'!L31</f>
        <v>56.819574711211764</v>
      </c>
      <c r="M10" s="242">
        <f>'Radio (MS)'!M31</f>
        <v>58.01755400220739</v>
      </c>
      <c r="N10" s="25"/>
      <c r="O10" s="25"/>
      <c r="P10" s="623"/>
      <c r="Q10" s="623"/>
      <c r="R10" s="623"/>
      <c r="S10" s="623"/>
      <c r="T10" s="623"/>
      <c r="U10" s="623"/>
      <c r="V10" s="25"/>
      <c r="W10" s="25"/>
    </row>
    <row r="11" spans="1:23" ht="15.75" customHeight="1" x14ac:dyDescent="0.25">
      <c r="A11" s="220" t="s">
        <v>490</v>
      </c>
      <c r="B11" s="242">
        <f>'Newspaper (MS)'!B43</f>
        <v>64.30512857532797</v>
      </c>
      <c r="C11" s="242">
        <f>'Newspaper (MS)'!C43</f>
        <v>67.242100312383243</v>
      </c>
      <c r="D11" s="242">
        <f>'Newspaper (MS)'!D43</f>
        <v>70.158705239565265</v>
      </c>
      <c r="E11" s="242">
        <f>'Newspaper (MS)'!E43</f>
        <v>66.721782477341392</v>
      </c>
      <c r="F11" s="242">
        <f>'Newspaper (MS)'!F43</f>
        <v>67.884093732596483</v>
      </c>
      <c r="G11" s="242">
        <f>'Newspaper (MS)'!G43</f>
        <v>69.498211566783738</v>
      </c>
      <c r="H11" s="242">
        <f>'Newspaper (MS)'!H43</f>
        <v>74.521218466016762</v>
      </c>
      <c r="I11" s="242">
        <f>'Newspaper (MS)'!I43</f>
        <v>73.259594036947917</v>
      </c>
      <c r="J11" s="242">
        <f>'Newspaper (MS)'!J43</f>
        <v>74.121871766215492</v>
      </c>
      <c r="K11" s="242">
        <f>'Newspaper (MS)'!K43</f>
        <v>67.256864738904767</v>
      </c>
      <c r="L11" s="242">
        <f>'Newspaper (MS)'!L43</f>
        <v>67.443740304104267</v>
      </c>
      <c r="M11" s="242">
        <f>'Newspaper (MS)'!M43</f>
        <v>72.125797172666509</v>
      </c>
      <c r="N11" s="25"/>
      <c r="O11" s="25"/>
      <c r="P11" s="623"/>
      <c r="Q11" s="623"/>
      <c r="R11" s="623"/>
      <c r="S11" s="623"/>
      <c r="T11" s="623"/>
      <c r="U11" s="623"/>
      <c r="V11" s="25"/>
      <c r="W11" s="25"/>
    </row>
    <row r="12" spans="1:23" ht="15.75" customHeight="1" x14ac:dyDescent="0.25">
      <c r="A12" s="220" t="s">
        <v>514</v>
      </c>
      <c r="B12" s="242">
        <f>'Magazines (MS)'!B40</f>
        <v>40.54474708171206</v>
      </c>
      <c r="C12" s="242">
        <f>'Magazines (MS)'!C40</f>
        <v>74.56774193548388</v>
      </c>
      <c r="D12" s="242">
        <f>'Magazines (MS)'!D40</f>
        <v>66.737096287352855</v>
      </c>
      <c r="E12" s="242">
        <f>'Magazines (MS)'!E40</f>
        <v>47.280458860759488</v>
      </c>
      <c r="F12" s="242">
        <f>'Magazines (MS)'!F40</f>
        <v>43.123076923076923</v>
      </c>
      <c r="G12" s="242">
        <f>'Magazines (MS)'!G40</f>
        <v>32.353418872827682</v>
      </c>
      <c r="H12" s="242">
        <f>'Magazines (MS)'!H40</f>
        <v>26.724858002004673</v>
      </c>
      <c r="I12" s="242">
        <f>'Magazines (MS)'!I40</f>
        <v>28.305926446474583</v>
      </c>
      <c r="J12" s="242">
        <f>'Magazines (MS)'!J40</f>
        <v>28.231321839080458</v>
      </c>
      <c r="K12" s="242">
        <f>'Magazines (MS)'!K40</f>
        <v>25.788442703232125</v>
      </c>
      <c r="L12" s="242">
        <f>'Magazines (MS)'!L40</f>
        <v>27.017603947401458</v>
      </c>
      <c r="M12" s="242">
        <f>'Magazines (MS)'!M40</f>
        <v>25.201943578809253</v>
      </c>
      <c r="N12" s="25"/>
      <c r="O12" s="25"/>
      <c r="P12" s="623"/>
      <c r="Q12" s="623"/>
      <c r="R12" s="623"/>
      <c r="S12" s="623"/>
      <c r="T12" s="623"/>
      <c r="U12" s="623"/>
      <c r="V12" s="25"/>
      <c r="W12" s="25"/>
    </row>
    <row r="13" spans="1:23" ht="15.75" customHeight="1" x14ac:dyDescent="0.25">
      <c r="A13" s="220" t="s">
        <v>534</v>
      </c>
      <c r="B13" s="242">
        <f>'Top 20 w Telecoms'!B41</f>
        <v>64.843008508535164</v>
      </c>
      <c r="C13" s="242">
        <f>'Top 20 w Telecoms'!L41</f>
        <v>59.825054703207485</v>
      </c>
      <c r="D13" s="242">
        <f>'Top 20 w Telecoms'!V41</f>
        <v>58.065684777913766</v>
      </c>
      <c r="E13" s="242">
        <f>'Top 20 w Telecoms'!AF41</f>
        <v>55.568649725363336</v>
      </c>
      <c r="F13" s="242">
        <f>'Top 20 w Telecoms'!AQ41</f>
        <v>59.44528247147958</v>
      </c>
      <c r="G13" s="242">
        <f>'Top 20 w Telecoms'!BC41</f>
        <v>59.63091794829748</v>
      </c>
      <c r="H13" s="242">
        <f>'Top 20 w Telecoms'!BO41</f>
        <v>62.880970525947014</v>
      </c>
      <c r="I13" s="242">
        <f>'Top 20 w Telecoms'!CA41</f>
        <v>62.490306518473979</v>
      </c>
      <c r="J13" s="242">
        <f>'Top 20 w Telecoms'!CM41</f>
        <v>67.895188304047451</v>
      </c>
      <c r="K13" s="242">
        <f>'Top 20 w Telecoms'!CY41</f>
        <v>66.291150491439836</v>
      </c>
      <c r="L13" s="242">
        <f>'Top 20 w Telecoms'!DK41</f>
        <v>67.083227427915375</v>
      </c>
      <c r="M13" s="242">
        <f>'Top 20 w Telecoms'!DX41</f>
        <v>67.885719249916562</v>
      </c>
      <c r="N13" s="25"/>
      <c r="O13" s="25"/>
      <c r="P13" s="623"/>
      <c r="Q13" s="623"/>
      <c r="R13" s="623"/>
      <c r="S13" s="623"/>
      <c r="T13" s="623"/>
      <c r="U13" s="623"/>
      <c r="V13" s="25"/>
      <c r="W13" s="25"/>
    </row>
    <row r="14" spans="1:23" ht="15.75" customHeight="1" x14ac:dyDescent="0.25">
      <c r="A14" s="220"/>
      <c r="B14" s="212"/>
      <c r="C14" s="212"/>
      <c r="D14" s="212"/>
      <c r="E14" s="212"/>
      <c r="F14" s="212"/>
      <c r="G14" s="212"/>
      <c r="H14" s="212"/>
      <c r="I14" s="305"/>
      <c r="J14" s="212"/>
      <c r="K14" s="215"/>
      <c r="L14" s="215"/>
      <c r="M14" s="215"/>
      <c r="N14" s="25"/>
      <c r="O14" s="25"/>
      <c r="P14" s="623"/>
      <c r="Q14" s="623"/>
      <c r="R14" s="623"/>
      <c r="S14" s="623"/>
      <c r="T14" s="623"/>
      <c r="U14" s="623"/>
      <c r="V14" s="25"/>
      <c r="W14" s="25"/>
    </row>
    <row r="15" spans="1:23" ht="18" customHeight="1" x14ac:dyDescent="0.25">
      <c r="A15" s="306" t="s">
        <v>543</v>
      </c>
      <c r="B15" s="307"/>
      <c r="C15" s="307"/>
      <c r="D15" s="307"/>
      <c r="E15" s="307"/>
      <c r="F15" s="307"/>
      <c r="G15" s="307"/>
      <c r="H15" s="307"/>
      <c r="I15" s="307"/>
      <c r="J15" s="307"/>
      <c r="K15" s="308"/>
      <c r="L15" s="308"/>
      <c r="M15" s="308"/>
      <c r="N15" s="311"/>
      <c r="O15" s="311"/>
      <c r="P15" s="623"/>
      <c r="Q15" s="623"/>
      <c r="R15" s="623"/>
      <c r="S15" s="623"/>
      <c r="T15" s="623"/>
      <c r="U15" s="623"/>
      <c r="V15" s="311"/>
      <c r="W15" s="311"/>
    </row>
    <row r="16" spans="1:23" ht="15.75" customHeight="1" x14ac:dyDescent="0.25">
      <c r="A16" s="313"/>
      <c r="B16" s="313">
        <v>1984</v>
      </c>
      <c r="C16" s="313">
        <v>1988</v>
      </c>
      <c r="D16" s="313">
        <v>1992</v>
      </c>
      <c r="E16" s="313">
        <v>1996</v>
      </c>
      <c r="F16" s="313">
        <v>2000</v>
      </c>
      <c r="G16" s="313">
        <v>2004</v>
      </c>
      <c r="H16" s="313">
        <v>2008</v>
      </c>
      <c r="I16" s="313">
        <v>2010</v>
      </c>
      <c r="J16" s="313">
        <v>2011</v>
      </c>
      <c r="K16" s="313">
        <v>2012</v>
      </c>
      <c r="L16" s="321">
        <v>2013</v>
      </c>
      <c r="M16" s="321">
        <v>2014</v>
      </c>
      <c r="N16" s="12"/>
      <c r="O16" s="12"/>
      <c r="P16" s="623"/>
      <c r="Q16" s="623"/>
      <c r="R16" s="623"/>
      <c r="S16" s="623"/>
      <c r="T16" s="623"/>
      <c r="U16" s="623"/>
      <c r="V16" s="12"/>
      <c r="W16" s="12"/>
    </row>
    <row r="17" spans="1:23" ht="15.75" customHeight="1" x14ac:dyDescent="0.25">
      <c r="A17" s="104" t="s">
        <v>111</v>
      </c>
      <c r="B17" s="207">
        <f>'Wireline (MS)'!B38</f>
        <v>5031.5880111800952</v>
      </c>
      <c r="C17" s="207">
        <f>'Wireline (MS)'!C38</f>
        <v>4427.1752164591235</v>
      </c>
      <c r="D17" s="207">
        <f>'Wireline (MS)'!D38</f>
        <v>4189.2971456337646</v>
      </c>
      <c r="E17" s="207">
        <f>'Wireline (MS)'!E38</f>
        <v>3360.4493907805631</v>
      </c>
      <c r="F17" s="207">
        <f>'Wireline (MS)'!F38</f>
        <v>4131.837829476849</v>
      </c>
      <c r="G17" s="207">
        <f>'Wireline (MS)'!G38</f>
        <v>2941.0006924996701</v>
      </c>
      <c r="H17" s="207">
        <f>'Wireline (MS)'!H38</f>
        <v>3862.5093690521121</v>
      </c>
      <c r="I17" s="207">
        <f>'Wireline (MS)'!I38</f>
        <v>3421.2803516476324</v>
      </c>
      <c r="J17" s="207">
        <f>'Wireline (MS)'!J38</f>
        <v>3462.675423020949</v>
      </c>
      <c r="K17" s="207">
        <f>'Wireline (MS)'!K38</f>
        <v>3366.558239459469</v>
      </c>
      <c r="L17" s="207">
        <f>'Wireline (MS)'!L38</f>
        <v>3258.7267892630334</v>
      </c>
      <c r="M17" s="207">
        <f>'Wireline (MS)'!M38</f>
        <v>3284.6312068235106</v>
      </c>
      <c r="N17" s="25"/>
      <c r="O17" s="25"/>
      <c r="P17" s="25"/>
      <c r="Q17" s="25"/>
      <c r="R17" s="25"/>
      <c r="S17" s="25"/>
      <c r="T17" s="25"/>
      <c r="U17" s="25"/>
      <c r="V17" s="25"/>
      <c r="W17" s="25"/>
    </row>
    <row r="18" spans="1:23" ht="15.75" customHeight="1" x14ac:dyDescent="0.25">
      <c r="A18" s="104" t="s">
        <v>102</v>
      </c>
      <c r="B18" s="333"/>
      <c r="C18" s="250">
        <f>'Wireless (MS)'!C23</f>
        <v>6164.8082285160181</v>
      </c>
      <c r="D18" s="250">
        <f>'Wireless (MS)'!D23</f>
        <v>7968.2621853082901</v>
      </c>
      <c r="E18" s="250">
        <f>'Wireless (MS)'!E23</f>
        <v>4995.0652397938966</v>
      </c>
      <c r="F18" s="250">
        <f>'Wireless (MS)'!F23</f>
        <v>2641.3101508916325</v>
      </c>
      <c r="G18" s="250">
        <f>'Wireless (MS)'!G23</f>
        <v>3085.1354749527413</v>
      </c>
      <c r="H18" s="250">
        <f>'Wireless (MS)'!H23</f>
        <v>3155.2178997104093</v>
      </c>
      <c r="I18" s="250">
        <f>'Wireless (MS)'!I23</f>
        <v>3060.3245743364414</v>
      </c>
      <c r="J18" s="250">
        <f>'Wireless (MS)'!J23</f>
        <v>2948.2109826938072</v>
      </c>
      <c r="K18" s="250">
        <f>'Wireless (MS)'!K23</f>
        <v>2914.6879980535982</v>
      </c>
      <c r="L18" s="250">
        <f>'Wireless (MS)'!L23</f>
        <v>2822.0426644268414</v>
      </c>
      <c r="M18" s="250">
        <f>'Wireless (MS)'!M23</f>
        <v>2855.3065357438013</v>
      </c>
      <c r="N18" s="25"/>
      <c r="O18" s="25"/>
      <c r="P18" s="25"/>
      <c r="Q18" s="25"/>
      <c r="R18" s="25"/>
      <c r="S18" s="25"/>
      <c r="T18" s="25"/>
      <c r="U18" s="25"/>
      <c r="V18" s="25"/>
      <c r="W18" s="25"/>
    </row>
    <row r="19" spans="1:23" ht="15.75" customHeight="1" x14ac:dyDescent="0.25">
      <c r="A19" s="220" t="s">
        <v>146</v>
      </c>
      <c r="B19" s="333"/>
      <c r="C19" s="333"/>
      <c r="D19" s="333"/>
      <c r="E19" s="242">
        <f>'ISPs (MS)'!B43</f>
        <v>1339.8349988719031</v>
      </c>
      <c r="F19" s="242">
        <f>'ISPs (MS)'!C43</f>
        <v>536.43594174459326</v>
      </c>
      <c r="G19" s="242">
        <f>'ISPs (MS)'!D43</f>
        <v>826.86101525214815</v>
      </c>
      <c r="H19" s="242">
        <f>'ISPs (MS)'!E43</f>
        <v>809.14898543085371</v>
      </c>
      <c r="I19" s="242">
        <f>'ISPs (MS)'!F43</f>
        <v>1023.2608125481307</v>
      </c>
      <c r="J19" s="242">
        <f>'ISPs (MS)'!G43</f>
        <v>1054.8350174804493</v>
      </c>
      <c r="K19" s="242">
        <f>'ISPs (MS)'!H43</f>
        <v>1072.0547949433039</v>
      </c>
      <c r="L19" s="242">
        <f>'ISPs (MS)'!I43</f>
        <v>1131.1555618640405</v>
      </c>
      <c r="M19" s="242">
        <f>'ISPs (MS)'!J43</f>
        <v>1076.3365234178568</v>
      </c>
      <c r="N19" s="25"/>
      <c r="O19" s="25"/>
      <c r="P19" s="25"/>
      <c r="Q19" s="25"/>
      <c r="R19" s="25"/>
      <c r="S19" s="25"/>
      <c r="T19" s="25"/>
      <c r="U19" s="25"/>
      <c r="V19" s="25"/>
      <c r="W19" s="25"/>
    </row>
    <row r="20" spans="1:23" ht="15.75" customHeight="1" x14ac:dyDescent="0.25">
      <c r="A20" s="215" t="s">
        <v>357</v>
      </c>
      <c r="B20" s="345">
        <f>'CableSatIPTV (MS)'!B49</f>
        <v>760.65637301246875</v>
      </c>
      <c r="C20" s="345">
        <f>'CableSatIPTV (MS)'!C49</f>
        <v>1010.9557777758484</v>
      </c>
      <c r="D20" s="345">
        <f>'CableSatIPTV (MS)'!D49</f>
        <v>1599.1150978814303</v>
      </c>
      <c r="E20" s="345">
        <f>'CableSatIPTV (MS)'!E49</f>
        <v>2314.5581864967471</v>
      </c>
      <c r="F20" s="345">
        <f>'CableSatIPTV (MS)'!F49</f>
        <v>1728.8963126933834</v>
      </c>
      <c r="G20" s="345">
        <f>'CableSatIPTV (MS)'!G49</f>
        <v>2205.6926218266995</v>
      </c>
      <c r="H20" s="345">
        <f>'CableSatIPTV (MS)'!H49</f>
        <v>1947.8814498903726</v>
      </c>
      <c r="I20" s="345">
        <f>'CableSatIPTV (MS)'!I49</f>
        <v>2032.0632426852358</v>
      </c>
      <c r="J20" s="345">
        <f>'CableSatIPTV (MS)'!J49</f>
        <v>1980.7016969431977</v>
      </c>
      <c r="K20" s="345">
        <f>'CableSatIPTV (MS)'!K49</f>
        <v>1882.6753670593846</v>
      </c>
      <c r="L20" s="345">
        <f>'CableSatIPTV (MS)'!L49</f>
        <v>1818.6934115554773</v>
      </c>
      <c r="M20" s="345">
        <f>'CableSatIPTV (MS)'!M49</f>
        <v>1924.4610907916306</v>
      </c>
      <c r="N20" s="25"/>
      <c r="O20" s="25"/>
      <c r="P20" s="25"/>
      <c r="Q20" s="25"/>
      <c r="R20" s="25"/>
      <c r="S20" s="25"/>
      <c r="T20" s="25"/>
      <c r="U20" s="25"/>
      <c r="V20" s="25"/>
      <c r="W20" s="25"/>
    </row>
    <row r="21" spans="1:23" ht="15.75" customHeight="1" x14ac:dyDescent="0.25">
      <c r="A21" s="220" t="s">
        <v>450</v>
      </c>
      <c r="B21" s="207">
        <f>'Total TV Universe (MS)'!D50</f>
        <v>1707.4477454376877</v>
      </c>
      <c r="C21" s="207">
        <f>'Total TV Universe (MS)'!E50</f>
        <v>1596.7265068296708</v>
      </c>
      <c r="D21" s="207">
        <f>'Total TV Universe (MS)'!F50</f>
        <v>1465.568591177288</v>
      </c>
      <c r="E21" s="207">
        <f>'Total TV Universe (MS)'!G50</f>
        <v>1506.5320931446427</v>
      </c>
      <c r="F21" s="207">
        <f>'Total TV Universe (MS)'!H50</f>
        <v>1355.2785081315033</v>
      </c>
      <c r="G21" s="207">
        <f>'Total TV Universe (MS)'!I50</f>
        <v>1283.1148776055741</v>
      </c>
      <c r="H21" s="207">
        <f>'Total TV Universe (MS)'!J50</f>
        <v>1530.7934495710219</v>
      </c>
      <c r="I21" s="207">
        <f>'Total TV Universe (MS)'!K50</f>
        <v>1656.9943665018141</v>
      </c>
      <c r="J21" s="207">
        <f>'Total TV Universe (MS)'!L50</f>
        <v>1724.6901654268763</v>
      </c>
      <c r="K21" s="207">
        <f>'Total TV Universe (MS)'!M50</f>
        <v>1680.931090703752</v>
      </c>
      <c r="L21" s="207">
        <f>'Total TV Universe (MS)'!N50</f>
        <v>1808.3990992062534</v>
      </c>
      <c r="M21" s="207">
        <f>'Total TV Universe (MS)'!O50</f>
        <v>2127.7754968692616</v>
      </c>
      <c r="N21" s="25"/>
      <c r="O21" s="25"/>
      <c r="P21" s="25"/>
      <c r="Q21" s="25"/>
      <c r="R21" s="25"/>
      <c r="S21" s="25"/>
      <c r="T21" s="25"/>
      <c r="U21" s="25"/>
      <c r="V21" s="25"/>
      <c r="W21" s="25"/>
    </row>
    <row r="22" spans="1:23" ht="15.75" customHeight="1" x14ac:dyDescent="0.25">
      <c r="A22" s="220" t="s">
        <v>461</v>
      </c>
      <c r="B22" s="250"/>
      <c r="C22" s="242">
        <f>'Pay &amp; Specialty (MS)'!C36</f>
        <v>1787.9884168665571</v>
      </c>
      <c r="D22" s="242">
        <f>'Pay &amp; Specialty (MS)'!E36</f>
        <v>1385.5910499881627</v>
      </c>
      <c r="E22" s="242">
        <f>'Pay &amp; Specialty (MS)'!F36</f>
        <v>1443.3322818227364</v>
      </c>
      <c r="F22" s="242">
        <f>'Pay &amp; Specialty (MS)'!H36</f>
        <v>709.60935608889054</v>
      </c>
      <c r="G22" s="242">
        <f>'Pay &amp; Specialty (MS)'!I36</f>
        <v>1072.312740932259</v>
      </c>
      <c r="H22" s="242">
        <f>'Pay &amp; Specialty (MS)'!J36</f>
        <v>1434.5500172445002</v>
      </c>
      <c r="I22" s="242">
        <f>'Pay &amp; Specialty (MS)'!K36</f>
        <v>1598.432120153843</v>
      </c>
      <c r="J22" s="242">
        <f>'Pay &amp; Specialty (MS)'!L36</f>
        <v>1834.5788800923594</v>
      </c>
      <c r="K22" s="242">
        <f>'Pay &amp; Specialty (MS)'!M36</f>
        <v>1760.4045568866256</v>
      </c>
      <c r="L22" s="242">
        <f>'Pay &amp; Specialty (MS)'!N36</f>
        <v>1964.3529347265353</v>
      </c>
      <c r="M22" s="242">
        <f>'Pay &amp; Specialty (MS)'!O36</f>
        <v>2582.6853455637533</v>
      </c>
      <c r="N22" s="25"/>
      <c r="O22" s="25"/>
      <c r="P22" s="25"/>
      <c r="Q22" s="25"/>
      <c r="R22" s="25"/>
      <c r="S22" s="25"/>
      <c r="T22" s="25"/>
      <c r="U22" s="25"/>
      <c r="V22" s="25"/>
      <c r="W22" s="25"/>
    </row>
    <row r="23" spans="1:23" ht="15.75" customHeight="1" x14ac:dyDescent="0.25">
      <c r="A23" s="220" t="s">
        <v>465</v>
      </c>
      <c r="B23" s="242">
        <f>'Broadcast TV (MS)'!B45</f>
        <v>2467.1300079591197</v>
      </c>
      <c r="C23" s="242">
        <f>'Broadcast TV (MS)'!C45</f>
        <v>2298.9776520609844</v>
      </c>
      <c r="D23" s="242">
        <f>'Broadcast TV (MS)'!E45</f>
        <v>2039.5643011180412</v>
      </c>
      <c r="E23" s="242">
        <f>'Broadcast TV (MS)'!F45</f>
        <v>2026.8308786661869</v>
      </c>
      <c r="F23" s="242">
        <f>'Broadcast TV (MS)'!H45</f>
        <v>2202.3611544137948</v>
      </c>
      <c r="G23" s="242">
        <f>'Broadcast TV (MS)'!I45</f>
        <v>2229.4666056696465</v>
      </c>
      <c r="H23" s="242">
        <f>'Broadcast TV (MS)'!J45</f>
        <v>2343.3170457883666</v>
      </c>
      <c r="I23" s="242">
        <f>'Broadcast TV (MS)'!K45</f>
        <v>2465.2690304568564</v>
      </c>
      <c r="J23" s="242">
        <f>'Broadcast TV (MS)'!L45</f>
        <v>2413.7721879312066</v>
      </c>
      <c r="K23" s="242">
        <f>'Broadcast TV (MS)'!M45</f>
        <v>2492.4929837070836</v>
      </c>
      <c r="L23" s="242">
        <f>'Broadcast TV (MS)'!N45</f>
        <v>2452.6263980218159</v>
      </c>
      <c r="M23" s="242">
        <f>'Broadcast TV (MS)'!O45</f>
        <v>2578.6328284934875</v>
      </c>
      <c r="N23" s="56"/>
      <c r="O23" s="56"/>
      <c r="P23" s="56"/>
      <c r="Q23" s="56"/>
      <c r="R23" s="56"/>
      <c r="S23" s="56"/>
      <c r="T23" s="56"/>
      <c r="U23" s="56"/>
      <c r="V23" s="56"/>
      <c r="W23" s="56"/>
    </row>
    <row r="24" spans="1:23" ht="15.75" customHeight="1" x14ac:dyDescent="0.25">
      <c r="A24" s="220" t="s">
        <v>99</v>
      </c>
      <c r="B24" s="242">
        <f>'Radio (MS)'!B32</f>
        <v>1116.6144244279585</v>
      </c>
      <c r="C24" s="242">
        <f>'Radio (MS)'!C32</f>
        <v>904.74391572049888</v>
      </c>
      <c r="D24" s="242">
        <f>'Radio (MS)'!D32</f>
        <v>880.34848689121281</v>
      </c>
      <c r="E24" s="242">
        <f>'Radio (MS)'!E32</f>
        <v>968.36208100312842</v>
      </c>
      <c r="F24" s="242">
        <f>'Radio (MS)'!F32</f>
        <v>931.54068344891982</v>
      </c>
      <c r="G24" s="242">
        <f>'Radio (MS)'!G32</f>
        <v>1022.2870410447542</v>
      </c>
      <c r="H24" s="242">
        <f>'Radio (MS)'!H32</f>
        <v>1100.6084399387023</v>
      </c>
      <c r="I24" s="242">
        <f>'Radio (MS)'!I32</f>
        <v>990.87802125477083</v>
      </c>
      <c r="J24" s="242">
        <f>'Radio (MS)'!J32</f>
        <v>895.52542784724187</v>
      </c>
      <c r="K24" s="242">
        <f>'Radio (MS)'!K32</f>
        <v>873.04623400160961</v>
      </c>
      <c r="L24" s="242">
        <f>'Radio (MS)'!L32</f>
        <v>963.79256361321018</v>
      </c>
      <c r="M24" s="242">
        <f>'Radio (MS)'!M32</f>
        <v>1022.9708635794045</v>
      </c>
      <c r="N24" s="25"/>
      <c r="O24" s="25"/>
      <c r="P24" s="25"/>
      <c r="Q24" s="25"/>
      <c r="R24" s="25"/>
      <c r="S24" s="25"/>
      <c r="T24" s="25"/>
      <c r="U24" s="25"/>
      <c r="V24" s="25"/>
      <c r="W24" s="25"/>
    </row>
    <row r="25" spans="1:23" ht="15.75" customHeight="1" x14ac:dyDescent="0.25">
      <c r="A25" s="220" t="s">
        <v>490</v>
      </c>
      <c r="B25" s="242">
        <f>'Newspaper (MS)'!B44</f>
        <v>1314.8526441598092</v>
      </c>
      <c r="C25" s="242">
        <f>'Newspaper (MS)'!C44</f>
        <v>1371.1573919278687</v>
      </c>
      <c r="D25" s="242">
        <f>'Newspaper (MS)'!D44</f>
        <v>1562.0762518910769</v>
      </c>
      <c r="E25" s="242">
        <f>'Newspaper (MS)'!E44</f>
        <v>1497.7897245768743</v>
      </c>
      <c r="F25" s="242">
        <f>'Newspaper (MS)'!F44</f>
        <v>1330.4274795745032</v>
      </c>
      <c r="G25" s="242">
        <f>'Newspaper (MS)'!G44</f>
        <v>1457.0390184777207</v>
      </c>
      <c r="H25" s="242">
        <f>'Newspaper (MS)'!H44</f>
        <v>1596.419855638648</v>
      </c>
      <c r="I25" s="242">
        <f>'Newspaper (MS)'!I44</f>
        <v>1545.5517493248583</v>
      </c>
      <c r="J25" s="242">
        <f>'Newspaper (MS)'!J44</f>
        <v>1571.7009142369482</v>
      </c>
      <c r="K25" s="242">
        <f>'Newspaper (MS)'!K44</f>
        <v>1328.3205142126237</v>
      </c>
      <c r="L25" s="242">
        <f>'Newspaper (MS)'!L44</f>
        <v>1358.1143538671886</v>
      </c>
      <c r="M25" s="242">
        <f>'Newspaper (MS)'!M44</f>
        <v>1571.2138481869551</v>
      </c>
      <c r="N25" s="25"/>
      <c r="O25" s="25"/>
      <c r="P25" s="25"/>
      <c r="Q25" s="25"/>
      <c r="R25" s="25"/>
      <c r="S25" s="25"/>
      <c r="T25" s="25"/>
      <c r="U25" s="25"/>
      <c r="V25" s="25"/>
      <c r="W25" s="25"/>
    </row>
    <row r="26" spans="1:23" ht="15.75" customHeight="1" x14ac:dyDescent="0.25">
      <c r="A26" s="220" t="s">
        <v>514</v>
      </c>
      <c r="B26" s="242">
        <f>'Magazines (MS)'!B41</f>
        <v>529.88555634621423</v>
      </c>
      <c r="C26" s="242">
        <f>'Magazines (MS)'!C41</f>
        <v>2314.6444120707602</v>
      </c>
      <c r="D26" s="242">
        <f>'Magazines (MS)'!D41</f>
        <v>1785.920066838836</v>
      </c>
      <c r="E26" s="242">
        <f>'Magazines (MS)'!E41</f>
        <v>782.18798526882711</v>
      </c>
      <c r="F26" s="242">
        <f>'Magazines (MS)'!F41</f>
        <v>733.80639053254458</v>
      </c>
      <c r="G26" s="242">
        <f>'Magazines (MS)'!G41</f>
        <v>386.5900540709502</v>
      </c>
      <c r="H26" s="242">
        <f>'Magazines (MS)'!H41</f>
        <v>265.0912568964514</v>
      </c>
      <c r="I26" s="242">
        <f>'Magazines (MS)'!I41</f>
        <v>291.81162318696653</v>
      </c>
      <c r="J26" s="242">
        <f>'Magazines (MS)'!J41</f>
        <v>284.36097144976412</v>
      </c>
      <c r="K26" s="242">
        <f>'Magazines (MS)'!K41</f>
        <v>233.00435757621628</v>
      </c>
      <c r="L26" s="242">
        <f>'Magazines (MS)'!L41</f>
        <v>258.26880795460522</v>
      </c>
      <c r="M26" s="242">
        <f>'Magazines (MS)'!M41</f>
        <v>218.47073077134758</v>
      </c>
      <c r="N26" s="25"/>
      <c r="O26" s="25"/>
      <c r="P26" s="25"/>
      <c r="Q26" s="25"/>
      <c r="R26" s="25"/>
      <c r="S26" s="25"/>
      <c r="T26" s="25"/>
      <c r="U26" s="25"/>
      <c r="V26" s="25"/>
      <c r="W26" s="25"/>
    </row>
    <row r="27" spans="1:23" ht="15.75" customHeight="1" x14ac:dyDescent="0.25">
      <c r="A27" s="220" t="s">
        <v>596</v>
      </c>
      <c r="B27" s="242">
        <f>'Top 20 w Telecoms'!B43</f>
        <v>2332.7138564008073</v>
      </c>
      <c r="C27" s="242">
        <f>'Top 20 w Telecoms'!L43</f>
        <v>1881.2398915990632</v>
      </c>
      <c r="D27" s="242">
        <f>'Top 20 w Telecoms'!V43</f>
        <v>1770.9991408508743</v>
      </c>
      <c r="E27" s="242">
        <f>'Top 20 w Telecoms'!AF43</f>
        <v>1408.1955284697192</v>
      </c>
      <c r="F27" s="242">
        <f>'Top 20 w Telecoms'!AQ43</f>
        <v>1495.5562365245537</v>
      </c>
      <c r="G27" s="242">
        <f>'Top 20 w Telecoms'!BC43</f>
        <v>1333.7312910045719</v>
      </c>
      <c r="H27" s="242">
        <f>'Top 20 w Telecoms'!BO43</f>
        <v>1281.2899188383515</v>
      </c>
      <c r="I27" s="242">
        <f>'Top 20 w Telecoms'!CA43</f>
        <v>1208.8958858718461</v>
      </c>
      <c r="J27" s="242">
        <f>'Top 20 w Telecoms'!CM43</f>
        <v>1399.8424573540399</v>
      </c>
      <c r="K27" s="242">
        <f>'Top 20 w Telecoms'!CY43</f>
        <v>1357.9063325964189</v>
      </c>
      <c r="L27" s="242">
        <f>'Top 20 w Telecoms'!DK43</f>
        <v>1393.019189165326</v>
      </c>
      <c r="M27" s="242">
        <f>'Top 20 w Telecoms'!DX43</f>
        <v>1412.2122380767705</v>
      </c>
      <c r="N27" s="25"/>
      <c r="O27" s="25"/>
      <c r="P27" s="25"/>
      <c r="Q27" s="25"/>
      <c r="R27" s="25"/>
      <c r="S27" s="25"/>
      <c r="T27" s="25"/>
      <c r="U27" s="25"/>
      <c r="V27" s="25"/>
      <c r="W27" s="25"/>
    </row>
    <row r="28" spans="1:23" ht="15.75" customHeight="1" x14ac:dyDescent="0.25">
      <c r="A28" s="220"/>
      <c r="B28" s="215"/>
      <c r="C28" s="215"/>
      <c r="D28" s="215"/>
      <c r="E28" s="215"/>
      <c r="F28" s="215"/>
      <c r="G28" s="215"/>
      <c r="H28" s="215"/>
      <c r="I28" s="215"/>
      <c r="J28" s="215"/>
      <c r="K28" s="215"/>
      <c r="L28" s="215"/>
      <c r="M28" s="215"/>
      <c r="N28" s="25"/>
      <c r="O28" s="25"/>
      <c r="P28" s="25"/>
      <c r="Q28" s="25"/>
      <c r="R28" s="25"/>
      <c r="S28" s="25"/>
      <c r="T28" s="25"/>
      <c r="U28" s="25"/>
      <c r="V28" s="25"/>
      <c r="W28" s="25"/>
    </row>
    <row r="29" spans="1:23" ht="18" customHeight="1" x14ac:dyDescent="0.25">
      <c r="A29" s="415" t="s">
        <v>601</v>
      </c>
      <c r="B29" s="416"/>
      <c r="C29" s="307"/>
      <c r="D29" s="307"/>
      <c r="E29" s="307"/>
      <c r="F29" s="307"/>
      <c r="G29" s="307"/>
      <c r="H29" s="307"/>
      <c r="I29" s="307"/>
      <c r="J29" s="307"/>
      <c r="K29" s="307"/>
      <c r="L29" s="308"/>
      <c r="M29" s="308"/>
      <c r="N29" s="311"/>
      <c r="O29" s="311"/>
      <c r="P29" s="311"/>
      <c r="Q29" s="311"/>
      <c r="R29" s="311"/>
      <c r="S29" s="311"/>
      <c r="T29" s="311"/>
      <c r="U29" s="311"/>
      <c r="V29" s="311"/>
      <c r="W29" s="311"/>
    </row>
    <row r="30" spans="1:23" ht="15.75" customHeight="1" x14ac:dyDescent="0.25">
      <c r="A30" s="313"/>
      <c r="B30" s="313">
        <v>1984</v>
      </c>
      <c r="C30" s="313">
        <v>1988</v>
      </c>
      <c r="D30" s="313">
        <v>1992</v>
      </c>
      <c r="E30" s="313">
        <v>1996</v>
      </c>
      <c r="F30" s="313">
        <v>2000</v>
      </c>
      <c r="G30" s="313">
        <v>2004</v>
      </c>
      <c r="H30" s="313">
        <v>2008</v>
      </c>
      <c r="I30" s="313">
        <v>2010</v>
      </c>
      <c r="J30" s="313">
        <v>2011</v>
      </c>
      <c r="K30" s="313">
        <v>2012</v>
      </c>
      <c r="L30" s="321">
        <v>2013</v>
      </c>
      <c r="M30" s="321">
        <v>2014</v>
      </c>
      <c r="N30" s="83"/>
      <c r="O30" s="83"/>
      <c r="P30" s="83"/>
      <c r="Q30" s="83"/>
      <c r="R30" s="83"/>
      <c r="S30" s="83"/>
      <c r="T30" s="83"/>
      <c r="U30" s="83"/>
      <c r="V30" s="83"/>
      <c r="W30" s="83"/>
    </row>
    <row r="31" spans="1:23" ht="15.75" customHeight="1" x14ac:dyDescent="0.25">
      <c r="A31" s="422" t="s">
        <v>604</v>
      </c>
      <c r="B31" s="425">
        <f>'Top 20 w Telecoms'!B40</f>
        <v>46.753077014708488</v>
      </c>
      <c r="C31" s="425">
        <f>'Top 20 w Telecoms'!L40</f>
        <v>41.273531782530746</v>
      </c>
      <c r="D31" s="425">
        <f>'Top 20 w Telecoms'!V40</f>
        <v>39.787789398844644</v>
      </c>
      <c r="E31" s="425">
        <f>'Top 20 w Telecoms'!AF40</f>
        <v>34.60909707395129</v>
      </c>
      <c r="F31" s="425">
        <f>'Top 20 w Telecoms'!AQ40</f>
        <v>34.215325478823239</v>
      </c>
      <c r="G31" s="425">
        <f>'Top 20 w Telecoms'!BC40</f>
        <v>30.93269990382872</v>
      </c>
      <c r="H31" s="425">
        <f>'Top 20 w Telecoms'!BO40</f>
        <v>26.795729256193436</v>
      </c>
      <c r="I31" s="425">
        <f>'Top 20 w Telecoms'!CA40</f>
        <v>25.447306621615162</v>
      </c>
      <c r="J31" s="425">
        <f>'Top 20 w Telecoms'!CM40</f>
        <v>27.86320325662232</v>
      </c>
      <c r="K31" s="425">
        <f>'Top 20 w Telecoms'!CY40</f>
        <v>27.433414186050392</v>
      </c>
      <c r="L31" s="425">
        <f>'Top 20 w Telecoms'!DK40</f>
        <v>27.985851156335983</v>
      </c>
      <c r="M31" s="425">
        <f>'Top 20 w Telecoms'!DX40</f>
        <v>27.868141154151854</v>
      </c>
      <c r="N31" s="25"/>
      <c r="O31" s="25"/>
      <c r="P31" s="25"/>
      <c r="Q31" s="25"/>
      <c r="R31" s="25"/>
      <c r="S31" s="25"/>
      <c r="T31" s="25"/>
      <c r="U31" s="25"/>
      <c r="V31" s="25"/>
      <c r="W31" s="25"/>
    </row>
    <row r="32" spans="1:23" ht="15.75" customHeight="1" x14ac:dyDescent="0.25">
      <c r="A32" s="349" t="s">
        <v>42</v>
      </c>
      <c r="B32" s="250">
        <f t="shared" ref="B32:M32" si="0">B13</f>
        <v>64.843008508535164</v>
      </c>
      <c r="C32" s="250">
        <f t="shared" si="0"/>
        <v>59.825054703207485</v>
      </c>
      <c r="D32" s="250">
        <f t="shared" si="0"/>
        <v>58.065684777913766</v>
      </c>
      <c r="E32" s="250">
        <f t="shared" si="0"/>
        <v>55.568649725363336</v>
      </c>
      <c r="F32" s="250">
        <f t="shared" si="0"/>
        <v>59.44528247147958</v>
      </c>
      <c r="G32" s="250">
        <f t="shared" si="0"/>
        <v>59.63091794829748</v>
      </c>
      <c r="H32" s="250">
        <f t="shared" si="0"/>
        <v>62.880970525947014</v>
      </c>
      <c r="I32" s="250">
        <f t="shared" si="0"/>
        <v>62.490306518473979</v>
      </c>
      <c r="J32" s="250">
        <f t="shared" si="0"/>
        <v>67.895188304047451</v>
      </c>
      <c r="K32" s="250">
        <f t="shared" si="0"/>
        <v>66.291150491439836</v>
      </c>
      <c r="L32" s="250">
        <f t="shared" si="0"/>
        <v>67.083227427915375</v>
      </c>
      <c r="M32" s="250">
        <f t="shared" si="0"/>
        <v>67.885719249916562</v>
      </c>
      <c r="N32" s="25"/>
      <c r="O32" s="25"/>
      <c r="P32" s="25"/>
      <c r="Q32" s="25"/>
      <c r="R32" s="25"/>
      <c r="S32" s="25"/>
      <c r="T32" s="25"/>
      <c r="U32" s="25"/>
      <c r="V32" s="25"/>
      <c r="W32" s="25"/>
    </row>
    <row r="33" spans="1:23" ht="15.75" customHeight="1" x14ac:dyDescent="0.25">
      <c r="A33" s="422" t="s">
        <v>615</v>
      </c>
      <c r="B33" s="242">
        <f>'Top 20 w Telecoms'!B42</f>
        <v>76.744368057758535</v>
      </c>
      <c r="C33" s="242">
        <f>'Top 20 w Telecoms'!L42</f>
        <v>74.729939132157611</v>
      </c>
      <c r="D33" s="242">
        <f>'Top 20 w Telecoms'!V42</f>
        <v>75.232680525286085</v>
      </c>
      <c r="E33" s="242">
        <f>'Top 20 w Telecoms'!AF42</f>
        <v>70.639287439404484</v>
      </c>
      <c r="F33" s="242">
        <f>'Top 20 w Telecoms'!AQ42</f>
        <v>75.173968976400275</v>
      </c>
      <c r="G33" s="242">
        <f>'Top 20 w Telecoms'!BC42</f>
        <v>76.586920195903971</v>
      </c>
      <c r="H33" s="242">
        <f>'Top 20 w Telecoms'!BO42</f>
        <v>81.853535789619613</v>
      </c>
      <c r="I33" s="242">
        <f>'Top 20 w Telecoms'!CA42</f>
        <v>81.097645595393047</v>
      </c>
      <c r="J33" s="242">
        <f>'Top 20 w Telecoms'!CM42</f>
        <v>83.461914018159916</v>
      </c>
      <c r="K33" s="242">
        <f>'Top 20 w Telecoms'!CY42</f>
        <v>82.01270446751569</v>
      </c>
      <c r="L33" s="242">
        <f>'Top 20 w Telecoms'!DK42</f>
        <v>82.775602048999403</v>
      </c>
      <c r="M33" s="242">
        <f>'Top 20 w Telecoms'!DX42</f>
        <v>83.580830777455532</v>
      </c>
      <c r="N33" s="25"/>
      <c r="O33" s="25"/>
      <c r="P33" s="25"/>
      <c r="Q33" s="25"/>
      <c r="R33" s="25"/>
      <c r="S33" s="25"/>
      <c r="T33" s="25"/>
      <c r="U33" s="25"/>
      <c r="V33" s="25"/>
      <c r="W33" s="25"/>
    </row>
    <row r="34" spans="1:23" ht="13.5" customHeight="1" x14ac:dyDescent="0.25">
      <c r="A34" s="422" t="s">
        <v>43</v>
      </c>
      <c r="B34" s="250">
        <f t="shared" ref="B34:M34" si="1">B27</f>
        <v>2332.7138564008073</v>
      </c>
      <c r="C34" s="250">
        <f t="shared" si="1"/>
        <v>1881.2398915990632</v>
      </c>
      <c r="D34" s="250">
        <f t="shared" si="1"/>
        <v>1770.9991408508743</v>
      </c>
      <c r="E34" s="250">
        <f t="shared" si="1"/>
        <v>1408.1955284697192</v>
      </c>
      <c r="F34" s="250">
        <f t="shared" si="1"/>
        <v>1495.5562365245537</v>
      </c>
      <c r="G34" s="250">
        <f t="shared" si="1"/>
        <v>1333.7312910045719</v>
      </c>
      <c r="H34" s="250">
        <f t="shared" si="1"/>
        <v>1281.2899188383515</v>
      </c>
      <c r="I34" s="250">
        <f t="shared" si="1"/>
        <v>1208.8958858718461</v>
      </c>
      <c r="J34" s="250">
        <f t="shared" si="1"/>
        <v>1399.8424573540399</v>
      </c>
      <c r="K34" s="250">
        <f t="shared" si="1"/>
        <v>1357.9063325964189</v>
      </c>
      <c r="L34" s="250">
        <f t="shared" si="1"/>
        <v>1393.019189165326</v>
      </c>
      <c r="M34" s="250">
        <f t="shared" si="1"/>
        <v>1412.2122380767705</v>
      </c>
      <c r="N34" s="25"/>
      <c r="O34" s="25"/>
      <c r="P34" s="25"/>
      <c r="Q34" s="25"/>
      <c r="R34" s="25"/>
      <c r="S34" s="25"/>
      <c r="T34" s="25"/>
      <c r="U34" s="25"/>
      <c r="V34" s="25"/>
      <c r="W34" s="25"/>
    </row>
    <row r="35" spans="1:23" ht="13.5" customHeight="1" x14ac:dyDescent="0.25">
      <c r="A35" s="422"/>
      <c r="B35" s="210"/>
      <c r="C35" s="215"/>
      <c r="D35" s="215"/>
      <c r="E35" s="349"/>
      <c r="F35" s="215"/>
      <c r="G35" s="215"/>
      <c r="H35" s="215"/>
      <c r="I35" s="215"/>
      <c r="J35" s="215"/>
      <c r="K35" s="215"/>
      <c r="L35" s="215"/>
      <c r="M35" s="215"/>
      <c r="N35" s="25"/>
      <c r="O35" s="25"/>
      <c r="P35" s="25"/>
      <c r="Q35" s="25"/>
      <c r="R35" s="25"/>
      <c r="S35" s="25"/>
      <c r="T35" s="25"/>
      <c r="U35" s="25"/>
      <c r="V35" s="25"/>
      <c r="W35" s="25"/>
    </row>
    <row r="36" spans="1:23" ht="18" customHeight="1" x14ac:dyDescent="0.25">
      <c r="A36" s="464" t="s">
        <v>623</v>
      </c>
      <c r="B36" s="416"/>
      <c r="C36" s="307"/>
      <c r="D36" s="307"/>
      <c r="E36" s="307"/>
      <c r="F36" s="307"/>
      <c r="G36" s="307"/>
      <c r="H36" s="307"/>
      <c r="I36" s="307"/>
      <c r="J36" s="307"/>
      <c r="K36" s="307"/>
      <c r="L36" s="308"/>
      <c r="M36" s="308"/>
      <c r="N36" s="311"/>
      <c r="O36" s="311"/>
      <c r="P36" s="311"/>
      <c r="Q36" s="311"/>
      <c r="R36" s="311"/>
      <c r="S36" s="311"/>
      <c r="T36" s="311"/>
      <c r="U36" s="311"/>
      <c r="V36" s="311"/>
      <c r="W36" s="311"/>
    </row>
    <row r="37" spans="1:23" ht="15.75" customHeight="1" x14ac:dyDescent="0.25">
      <c r="A37" s="313"/>
      <c r="B37" s="313">
        <v>1984</v>
      </c>
      <c r="C37" s="313">
        <v>1988</v>
      </c>
      <c r="D37" s="313">
        <v>1992</v>
      </c>
      <c r="E37" s="313">
        <v>1996</v>
      </c>
      <c r="F37" s="313">
        <v>2000</v>
      </c>
      <c r="G37" s="313">
        <v>2004</v>
      </c>
      <c r="H37" s="313">
        <v>2008</v>
      </c>
      <c r="I37" s="313">
        <v>2010</v>
      </c>
      <c r="J37" s="313">
        <v>2011</v>
      </c>
      <c r="K37" s="313">
        <v>2012</v>
      </c>
      <c r="L37" s="321">
        <v>2013</v>
      </c>
      <c r="M37" s="321">
        <v>2014</v>
      </c>
      <c r="N37" s="12"/>
      <c r="O37" s="12"/>
      <c r="P37" s="12"/>
      <c r="Q37" s="12"/>
      <c r="R37" s="12"/>
      <c r="S37" s="12"/>
      <c r="T37" s="12"/>
      <c r="U37" s="12"/>
      <c r="V37" s="12"/>
      <c r="W37" s="12"/>
    </row>
    <row r="38" spans="1:23" ht="15.75" customHeight="1" x14ac:dyDescent="0.25">
      <c r="A38" s="422" t="s">
        <v>604</v>
      </c>
      <c r="B38" s="242">
        <f>'Top 20 no Telecoms'!B33</f>
        <v>16.662744544327822</v>
      </c>
      <c r="C38" s="242">
        <f>'Top 20 no Telecoms'!J33</f>
        <v>14.665159320295562</v>
      </c>
      <c r="D38" s="242">
        <f>'Top 20 no Telecoms'!R33</f>
        <v>13.928483983946688</v>
      </c>
      <c r="E38" s="242">
        <f>'Top 20 no Telecoms'!Z33</f>
        <v>10.433842750854613</v>
      </c>
      <c r="F38" s="242">
        <f>'Top 20 no Telecoms'!AI33</f>
        <v>9.4281263532018489</v>
      </c>
      <c r="G38" s="242">
        <f>'Top 20 no Telecoms'!AS33</f>
        <v>13.769269616276784</v>
      </c>
      <c r="H38" s="242">
        <f>'Top 20 no Telecoms'!BC33</f>
        <v>11.185932317578771</v>
      </c>
      <c r="I38" s="242">
        <f>'Top 20 no Telecoms'!BM33</f>
        <v>15.51233866725622</v>
      </c>
      <c r="J38" s="242">
        <f>'Top 20 no Telecoms'!BW33</f>
        <v>15.777925325787024</v>
      </c>
      <c r="K38" s="242">
        <f>'Top 20 no Telecoms'!CG33</f>
        <v>15.991542336373044</v>
      </c>
      <c r="L38" s="242">
        <f>'Top 20 no Telecoms'!CQ33</f>
        <v>17.990704497983586</v>
      </c>
      <c r="M38" s="242">
        <f>'Top 20 no Telecoms'!DA33</f>
        <v>17.758289978835748</v>
      </c>
      <c r="N38" s="25"/>
      <c r="O38" s="25"/>
      <c r="P38" s="25"/>
      <c r="Q38" s="25"/>
      <c r="R38" s="25"/>
      <c r="S38" s="25"/>
      <c r="T38" s="25"/>
      <c r="U38" s="25"/>
      <c r="V38" s="25"/>
      <c r="W38" s="25"/>
    </row>
    <row r="39" spans="1:23" ht="15.75" customHeight="1" x14ac:dyDescent="0.25">
      <c r="A39" s="349" t="s">
        <v>42</v>
      </c>
      <c r="B39" s="242">
        <f>'Top 20 no Telecoms'!B34</f>
        <v>37.908096829356296</v>
      </c>
      <c r="C39" s="242">
        <f>'Top 20 no Telecoms'!J34</f>
        <v>38.613319036852289</v>
      </c>
      <c r="D39" s="242">
        <f>'Top 20 no Telecoms'!R34</f>
        <v>34.589139529684786</v>
      </c>
      <c r="E39" s="242">
        <f>'Top 20 no Telecoms'!Z34</f>
        <v>34.433440579127286</v>
      </c>
      <c r="F39" s="242">
        <f>'Top 20 no Telecoms'!AI34</f>
        <v>33.097138101102807</v>
      </c>
      <c r="G39" s="242">
        <f>'Top 20 no Telecoms'!AS34</f>
        <v>44.025456008354091</v>
      </c>
      <c r="H39" s="242">
        <f>'Top 20 no Telecoms'!BC34</f>
        <v>39.966508602819232</v>
      </c>
      <c r="I39" s="242">
        <f>'Top 20 no Telecoms'!BM34</f>
        <v>42.485877429044081</v>
      </c>
      <c r="J39" s="242">
        <f>'Top 20 no Telecoms'!BW34</f>
        <v>51.281721178253662</v>
      </c>
      <c r="K39" s="242">
        <f>'Top 20 no Telecoms'!CG34</f>
        <v>50.508816662049632</v>
      </c>
      <c r="L39" s="242">
        <f>'Top 20 no Telecoms'!CQ34</f>
        <v>51.994659461447227</v>
      </c>
      <c r="M39" s="242">
        <f>'Top 20 no Telecoms'!DA34</f>
        <v>50.111706890441262</v>
      </c>
      <c r="N39" s="25"/>
      <c r="O39" s="25"/>
      <c r="P39" s="25"/>
      <c r="Q39" s="25"/>
      <c r="R39" s="25"/>
      <c r="S39" s="25"/>
      <c r="T39" s="25"/>
      <c r="U39" s="25"/>
      <c r="V39" s="25"/>
      <c r="W39" s="25"/>
    </row>
    <row r="40" spans="1:23" ht="15.75" customHeight="1" x14ac:dyDescent="0.25">
      <c r="A40" s="422" t="s">
        <v>615</v>
      </c>
      <c r="B40" s="242">
        <f>'Top 20 no Telecoms'!B35</f>
        <v>54.188042233413341</v>
      </c>
      <c r="C40" s="242">
        <f>'Top 20 no Telecoms'!J35</f>
        <v>59.734038833593623</v>
      </c>
      <c r="D40" s="242">
        <f>'Top 20 no Telecoms'!R35</f>
        <v>59.381287458615873</v>
      </c>
      <c r="E40" s="242">
        <f>'Top 20 no Telecoms'!Z35</f>
        <v>53.93876935451437</v>
      </c>
      <c r="F40" s="242">
        <f>'Top 20 no Telecoms'!AI35</f>
        <v>58.262052986463758</v>
      </c>
      <c r="G40" s="242">
        <f>'Top 20 no Telecoms'!AS35</f>
        <v>70.631863663987545</v>
      </c>
      <c r="H40" s="242">
        <f>'Top 20 no Telecoms'!BC35</f>
        <v>68.60424440298506</v>
      </c>
      <c r="I40" s="242">
        <f>'Top 20 no Telecoms'!BM35</f>
        <v>68.172184824620913</v>
      </c>
      <c r="J40" s="242">
        <f>'Top 20 no Telecoms'!BW35</f>
        <v>71.90473389140503</v>
      </c>
      <c r="K40" s="242">
        <f>'Top 20 no Telecoms'!CG35</f>
        <v>71.659759951605878</v>
      </c>
      <c r="L40" s="242">
        <f>'Top 20 no Telecoms'!CQ35</f>
        <v>73.654692096225091</v>
      </c>
      <c r="M40" s="242">
        <f>'Top 20 no Telecoms'!DA35</f>
        <v>71.353918707927519</v>
      </c>
      <c r="N40" s="25"/>
      <c r="O40" s="25"/>
      <c r="P40" s="25"/>
      <c r="Q40" s="25"/>
      <c r="R40" s="25"/>
      <c r="S40" s="25"/>
      <c r="T40" s="25"/>
      <c r="U40" s="25"/>
      <c r="V40" s="25"/>
      <c r="W40" s="25"/>
    </row>
    <row r="41" spans="1:23" ht="15.75" customHeight="1" x14ac:dyDescent="0.25">
      <c r="A41" s="422" t="s">
        <v>43</v>
      </c>
      <c r="B41" s="242">
        <f>'Top 20 no Telecoms'!B36</f>
        <v>494.78801302074231</v>
      </c>
      <c r="C41" s="242">
        <f>'Top 20 no Telecoms'!J36</f>
        <v>494.33297240105986</v>
      </c>
      <c r="D41" s="242">
        <f>'Top 20 no Telecoms'!R36</f>
        <v>479.37221275005641</v>
      </c>
      <c r="E41" s="242">
        <f>'Top 20 no Telecoms'!Z36</f>
        <v>406.528460643931</v>
      </c>
      <c r="F41" s="242">
        <f>'Top 20 no Telecoms'!AI36</f>
        <v>411.94405508883085</v>
      </c>
      <c r="G41" s="242">
        <f>'Top 20 no Telecoms'!AS36</f>
        <v>652.6631431065307</v>
      </c>
      <c r="H41" s="242">
        <f>'Top 20 no Telecoms'!BC36</f>
        <v>573.81470768633108</v>
      </c>
      <c r="I41" s="242">
        <f>'Top 20 no Telecoms'!BM36</f>
        <v>669.28735651635952</v>
      </c>
      <c r="J41" s="242">
        <f>'Top 20 no Telecoms'!BW36</f>
        <v>774.42432839647927</v>
      </c>
      <c r="K41" s="242">
        <f>'Top 20 no Telecoms'!CG36</f>
        <v>755.31084582125754</v>
      </c>
      <c r="L41" s="242">
        <f>'Top 20 no Telecoms'!CQ36</f>
        <v>812.61827593305941</v>
      </c>
      <c r="M41" s="242">
        <f>'Top 20 no Telecoms'!DA36</f>
        <v>762.44980172662315</v>
      </c>
      <c r="N41" s="25"/>
      <c r="O41" s="25"/>
      <c r="P41" s="25"/>
      <c r="Q41" s="25"/>
      <c r="R41" s="25"/>
      <c r="S41" s="25"/>
      <c r="T41" s="25"/>
      <c r="U41" s="25"/>
      <c r="V41" s="25"/>
      <c r="W41" s="25"/>
    </row>
    <row r="42" spans="1:23" ht="15.75" customHeight="1" x14ac:dyDescent="0.25">
      <c r="A42" s="220"/>
      <c r="B42" s="215"/>
      <c r="C42" s="215"/>
      <c r="D42" s="215"/>
      <c r="E42" s="215"/>
      <c r="F42" s="215"/>
      <c r="G42" s="215"/>
      <c r="H42" s="215"/>
      <c r="I42" s="215"/>
      <c r="J42" s="215"/>
      <c r="K42" s="215"/>
      <c r="L42" s="215"/>
      <c r="M42" s="215"/>
      <c r="N42" s="25"/>
      <c r="O42" s="25"/>
      <c r="P42" s="25"/>
      <c r="Q42" s="25"/>
      <c r="R42" s="25"/>
      <c r="S42" s="25"/>
      <c r="T42" s="25"/>
      <c r="U42" s="25"/>
      <c r="V42" s="25"/>
      <c r="W42" s="25"/>
    </row>
    <row r="43" spans="1:23" ht="18" customHeight="1" x14ac:dyDescent="0.25">
      <c r="A43" s="464" t="s">
        <v>640</v>
      </c>
      <c r="B43" s="416"/>
      <c r="C43" s="416"/>
      <c r="D43" s="416"/>
      <c r="E43" s="416"/>
      <c r="F43" s="416"/>
      <c r="G43" s="416"/>
      <c r="H43" s="416"/>
      <c r="I43" s="416"/>
      <c r="J43" s="416"/>
      <c r="K43" s="308"/>
      <c r="L43" s="308"/>
      <c r="M43" s="415"/>
      <c r="N43" s="492"/>
      <c r="O43" s="492"/>
      <c r="P43" s="492"/>
      <c r="Q43" s="492"/>
      <c r="R43" s="492"/>
      <c r="S43" s="492"/>
      <c r="T43" s="492"/>
      <c r="U43" s="492"/>
      <c r="V43" s="492"/>
      <c r="W43" s="492"/>
    </row>
    <row r="44" spans="1:23" ht="15.75" customHeight="1" x14ac:dyDescent="0.25">
      <c r="A44" s="313"/>
      <c r="B44" s="313">
        <v>2004</v>
      </c>
      <c r="C44" s="313">
        <v>2005</v>
      </c>
      <c r="D44" s="313">
        <v>2006</v>
      </c>
      <c r="E44" s="313">
        <v>2008</v>
      </c>
      <c r="F44" s="313">
        <v>2009</v>
      </c>
      <c r="G44" s="313">
        <v>2010</v>
      </c>
      <c r="H44" s="321">
        <v>2011</v>
      </c>
      <c r="I44" s="321">
        <v>2012</v>
      </c>
      <c r="J44" s="321">
        <v>2013</v>
      </c>
      <c r="K44" s="321">
        <v>2014</v>
      </c>
      <c r="L44" s="495"/>
      <c r="M44" s="496"/>
      <c r="N44" s="83"/>
      <c r="O44" s="83"/>
      <c r="P44" s="83"/>
      <c r="Q44" s="12"/>
      <c r="R44" s="83"/>
      <c r="S44" s="83"/>
      <c r="T44" s="83"/>
      <c r="U44" s="83"/>
      <c r="V44" s="83"/>
      <c r="W44" s="83"/>
    </row>
    <row r="45" spans="1:23" ht="15.75" customHeight="1" x14ac:dyDescent="0.25">
      <c r="A45" s="220" t="s">
        <v>103</v>
      </c>
      <c r="B45" s="242">
        <f>'Search (MS)'!B3</f>
        <v>62</v>
      </c>
      <c r="C45" s="242">
        <f>'Search (MS)'!C3</f>
        <v>60</v>
      </c>
      <c r="D45" s="242">
        <f>'Search (MS)'!D3</f>
        <v>66</v>
      </c>
      <c r="E45" s="242">
        <f>'Search (MS)'!E3</f>
        <v>79</v>
      </c>
      <c r="F45" s="242">
        <f>'Search (MS)'!F3</f>
        <v>81.099999999999994</v>
      </c>
      <c r="G45" s="242">
        <f>'Search (MS)'!G3</f>
        <v>82.4</v>
      </c>
      <c r="H45" s="242">
        <f>'Search (MS)'!H3</f>
        <v>81.099999999999994</v>
      </c>
      <c r="I45" s="242">
        <f>'Search (MS)'!I3</f>
        <v>67.900000000000006</v>
      </c>
      <c r="J45" s="242">
        <f>'Search (MS)'!J3</f>
        <v>70.454999999999998</v>
      </c>
      <c r="K45" s="242">
        <f>'Search (MS)'!K3</f>
        <v>75.8</v>
      </c>
      <c r="L45" s="215"/>
      <c r="M45" s="215"/>
      <c r="N45" s="25"/>
      <c r="O45" s="511"/>
      <c r="P45" s="24"/>
      <c r="Q45" s="25"/>
      <c r="R45" s="25"/>
      <c r="S45" s="25"/>
      <c r="T45" s="25"/>
      <c r="U45" s="25"/>
      <c r="V45" s="25"/>
      <c r="W45" s="25"/>
    </row>
    <row r="46" spans="1:23" ht="15.75" customHeight="1" x14ac:dyDescent="0.25">
      <c r="A46" s="220" t="s">
        <v>105</v>
      </c>
      <c r="B46" s="242">
        <f>'Search (MS)'!B4</f>
        <v>12</v>
      </c>
      <c r="C46" s="242">
        <f>'Search (MS)'!C4</f>
        <v>17</v>
      </c>
      <c r="D46" s="242">
        <f>'Search (MS)'!D4</f>
        <v>14</v>
      </c>
      <c r="E46" s="242">
        <f>'Search (MS)'!E4</f>
        <v>5</v>
      </c>
      <c r="F46" s="242">
        <f>'Search (MS)'!F4</f>
        <v>4.4000000000000004</v>
      </c>
      <c r="G46" s="242">
        <f>'Search (MS)'!G4</f>
        <v>5.9</v>
      </c>
      <c r="H46" s="242">
        <f>'Search (MS)'!H4</f>
        <v>8.6</v>
      </c>
      <c r="I46" s="242">
        <f>'Search (MS)'!I4</f>
        <v>17.8</v>
      </c>
      <c r="J46" s="242">
        <f>'Search (MS)'!J4</f>
        <v>15.025</v>
      </c>
      <c r="K46" s="242">
        <f>'Search (MS)'!K4</f>
        <v>10.4</v>
      </c>
      <c r="L46" s="215"/>
      <c r="M46" s="215"/>
      <c r="N46" s="25"/>
      <c r="O46" s="164"/>
      <c r="P46" s="525"/>
      <c r="Q46" s="525"/>
      <c r="R46" s="525"/>
      <c r="S46" s="525"/>
      <c r="T46" s="525"/>
      <c r="U46" s="525"/>
      <c r="V46" s="25"/>
      <c r="W46" s="25"/>
    </row>
    <row r="47" spans="1:23" ht="15.75" customHeight="1" x14ac:dyDescent="0.25">
      <c r="A47" s="220" t="s">
        <v>106</v>
      </c>
      <c r="B47" s="242">
        <f>'Search (MS)'!B5</f>
        <v>15</v>
      </c>
      <c r="C47" s="242">
        <f>'Search (MS)'!C5</f>
        <v>16</v>
      </c>
      <c r="D47" s="242">
        <f>'Search (MS)'!D5</f>
        <v>13</v>
      </c>
      <c r="E47" s="242">
        <f>'Search (MS)'!E5</f>
        <v>4</v>
      </c>
      <c r="F47" s="242">
        <f>'Search (MS)'!F5</f>
        <v>3.9</v>
      </c>
      <c r="G47" s="242">
        <f>'Search (MS)'!G5</f>
        <v>4.2</v>
      </c>
      <c r="H47" s="242">
        <f>'Search (MS)'!H5</f>
        <v>4.2</v>
      </c>
      <c r="I47" s="242">
        <f>'Search (MS)'!I5</f>
        <v>5.4</v>
      </c>
      <c r="J47" s="242">
        <f>'Search (MS)'!J5</f>
        <v>3.45</v>
      </c>
      <c r="K47" s="242">
        <f>'Search (MS)'!K5</f>
        <v>5.7</v>
      </c>
      <c r="L47" s="215"/>
      <c r="M47" s="215"/>
      <c r="N47" s="25"/>
      <c r="O47" s="511"/>
      <c r="P47" s="24"/>
      <c r="Q47" s="24"/>
      <c r="R47" s="25"/>
      <c r="S47" s="25"/>
      <c r="T47" s="25"/>
      <c r="U47" s="25"/>
      <c r="V47" s="25"/>
      <c r="W47" s="25"/>
    </row>
    <row r="48" spans="1:23" ht="15.75" customHeight="1" x14ac:dyDescent="0.25">
      <c r="A48" s="220" t="s">
        <v>107</v>
      </c>
      <c r="B48" s="242">
        <f>'Search (MS)'!B6</f>
        <v>4</v>
      </c>
      <c r="C48" s="242">
        <f>'Search (MS)'!C6</f>
        <v>4</v>
      </c>
      <c r="D48" s="242">
        <f>'Search (MS)'!D6</f>
        <v>2</v>
      </c>
      <c r="E48" s="242">
        <f>'Search (MS)'!E6</f>
        <v>2</v>
      </c>
      <c r="F48" s="242">
        <f>'Search (MS)'!F6</f>
        <v>1.9</v>
      </c>
      <c r="G48" s="242">
        <f>'Search (MS)'!G6</f>
        <v>0</v>
      </c>
      <c r="H48" s="242">
        <f>'Search (MS)'!H6</f>
        <v>3.7</v>
      </c>
      <c r="I48" s="242">
        <f>'Search (MS)'!I6</f>
        <v>6.2</v>
      </c>
      <c r="J48" s="242">
        <f>'Search (MS)'!J6</f>
        <v>4.4749999999999996</v>
      </c>
      <c r="K48" s="242">
        <f>'Search (MS)'!K6</f>
        <v>2.1</v>
      </c>
      <c r="L48" s="215"/>
      <c r="M48" s="215"/>
      <c r="N48" s="25"/>
      <c r="O48" s="25"/>
      <c r="P48" s="25"/>
      <c r="Q48" s="25"/>
      <c r="R48" s="25"/>
      <c r="S48" s="25"/>
      <c r="T48" s="25"/>
      <c r="U48" s="25"/>
      <c r="V48" s="25"/>
      <c r="W48" s="25"/>
    </row>
    <row r="49" spans="1:23" ht="15.75" customHeight="1" x14ac:dyDescent="0.25">
      <c r="A49" s="220" t="s">
        <v>110</v>
      </c>
      <c r="B49" s="242">
        <f>'Search (MS)'!B9</f>
        <v>7</v>
      </c>
      <c r="C49" s="242">
        <f>'Search (MS)'!C9</f>
        <v>3</v>
      </c>
      <c r="D49" s="242">
        <f>'Search (MS)'!D9</f>
        <v>5</v>
      </c>
      <c r="E49" s="242">
        <f>'Search (MS)'!E9</f>
        <v>4</v>
      </c>
      <c r="F49" s="242">
        <f>'Search (MS)'!F9</f>
        <v>5</v>
      </c>
      <c r="G49" s="242">
        <f>'Search (MS)'!G9</f>
        <v>4.5</v>
      </c>
      <c r="H49" s="242">
        <f>'Search (MS)'!H9</f>
        <v>2.4</v>
      </c>
      <c r="I49" s="242">
        <f>'Search (MS)'!I9</f>
        <v>2.7</v>
      </c>
      <c r="J49" s="242">
        <f>'Search (MS)'!J9</f>
        <v>6.6</v>
      </c>
      <c r="K49" s="242">
        <f>'Search (MS)'!K9</f>
        <v>6</v>
      </c>
      <c r="L49" s="215"/>
      <c r="M49" s="349"/>
      <c r="N49" s="56"/>
      <c r="O49" s="25"/>
      <c r="P49" s="25"/>
      <c r="Q49" s="25"/>
      <c r="R49" s="25"/>
      <c r="S49" s="25"/>
      <c r="T49" s="25"/>
      <c r="U49" s="25"/>
      <c r="V49" s="56"/>
      <c r="W49" s="56"/>
    </row>
    <row r="50" spans="1:23" ht="15.75" customHeight="1" x14ac:dyDescent="0.25">
      <c r="A50" s="220" t="s">
        <v>42</v>
      </c>
      <c r="B50" s="242">
        <f>'Search (MS)'!B13</f>
        <v>93</v>
      </c>
      <c r="C50" s="242">
        <f>'Search (MS)'!C13</f>
        <v>97</v>
      </c>
      <c r="D50" s="242">
        <f>'Search (MS)'!D13</f>
        <v>95</v>
      </c>
      <c r="E50" s="242">
        <f>'Search (MS)'!E13</f>
        <v>92</v>
      </c>
      <c r="F50" s="242">
        <f>'Search (MS)'!F13</f>
        <v>91.300000000000011</v>
      </c>
      <c r="G50" s="242">
        <f>'Search (MS)'!G13</f>
        <v>94.000000000000014</v>
      </c>
      <c r="H50" s="242">
        <f>'Search (MS)'!H13</f>
        <v>97.6</v>
      </c>
      <c r="I50" s="242">
        <f>'Search (MS)'!I13</f>
        <v>97.300000000000011</v>
      </c>
      <c r="J50" s="242">
        <f>'Search (MS)'!J13</f>
        <v>93.405000000000001</v>
      </c>
      <c r="K50" s="242">
        <f>'Search (MS)'!K13</f>
        <v>94</v>
      </c>
      <c r="L50" s="215"/>
      <c r="M50" s="215"/>
      <c r="N50" s="25"/>
      <c r="O50" s="25"/>
      <c r="P50" s="25"/>
      <c r="Q50" s="25"/>
      <c r="R50" s="25"/>
      <c r="S50" s="25"/>
      <c r="T50" s="25"/>
      <c r="U50" s="25"/>
      <c r="V50" s="25"/>
      <c r="W50" s="25"/>
    </row>
    <row r="51" spans="1:23" ht="15.75" customHeight="1" x14ac:dyDescent="0.25">
      <c r="A51" s="220" t="s">
        <v>43</v>
      </c>
      <c r="B51" s="242">
        <f>'Search (MS)'!B14</f>
        <v>4229</v>
      </c>
      <c r="C51" s="242">
        <f>'Search (MS)'!C14</f>
        <v>4161</v>
      </c>
      <c r="D51" s="242">
        <f>'Search (MS)'!D14</f>
        <v>4725</v>
      </c>
      <c r="E51" s="242">
        <f>'Search (MS)'!E14</f>
        <v>6306</v>
      </c>
      <c r="F51" s="242">
        <f>'Search (MS)'!F14</f>
        <v>6622.4799999999987</v>
      </c>
      <c r="G51" s="242">
        <f>'Search (MS)'!G14</f>
        <v>6844.4600000000019</v>
      </c>
      <c r="H51" s="242">
        <f>'Search (MS)'!H14</f>
        <v>6682.4999999999991</v>
      </c>
      <c r="I51" s="242">
        <f>'Search (MS)'!I14</f>
        <v>4994.8500000000004</v>
      </c>
      <c r="J51" s="242">
        <f>'Search (MS)'!J14</f>
        <v>5221.5857749999996</v>
      </c>
      <c r="K51" s="242">
        <f>'Search (MS)'!K14</f>
        <v>5890.6999999999989</v>
      </c>
      <c r="L51" s="215"/>
      <c r="M51" s="215"/>
      <c r="N51" s="25"/>
      <c r="O51" s="25"/>
      <c r="P51" s="25"/>
      <c r="Q51" s="25"/>
      <c r="R51" s="25"/>
      <c r="S51" s="25"/>
      <c r="T51" s="25"/>
      <c r="U51" s="25"/>
      <c r="V51" s="25"/>
      <c r="W51" s="25"/>
    </row>
    <row r="52" spans="1:23" ht="15.75" customHeight="1" x14ac:dyDescent="0.25">
      <c r="A52" s="220"/>
      <c r="B52" s="215"/>
      <c r="C52" s="215"/>
      <c r="D52" s="215"/>
      <c r="E52" s="215"/>
      <c r="F52" s="215"/>
      <c r="G52" s="215"/>
      <c r="H52" s="215"/>
      <c r="I52" s="215"/>
      <c r="J52" s="215"/>
      <c r="K52" s="215"/>
      <c r="L52" s="349"/>
      <c r="M52" s="215"/>
      <c r="N52" s="25"/>
      <c r="O52" s="56"/>
      <c r="P52" s="56"/>
      <c r="Q52" s="56"/>
      <c r="R52" s="56"/>
      <c r="S52" s="56"/>
      <c r="T52" s="56"/>
      <c r="U52" s="56"/>
      <c r="V52" s="25"/>
      <c r="W52" s="25"/>
    </row>
    <row r="53" spans="1:23" ht="15.75" customHeight="1" x14ac:dyDescent="0.25">
      <c r="A53" s="220"/>
      <c r="B53" s="215"/>
      <c r="C53" s="215"/>
      <c r="D53" s="215"/>
      <c r="E53" s="215"/>
      <c r="F53" s="215"/>
      <c r="G53" s="215"/>
      <c r="H53" s="215"/>
      <c r="I53" s="215"/>
      <c r="J53" s="215"/>
      <c r="K53" s="215"/>
      <c r="L53" s="215"/>
      <c r="M53" s="215"/>
      <c r="N53" s="25"/>
      <c r="O53" s="25"/>
      <c r="P53" s="25"/>
      <c r="Q53" s="25"/>
      <c r="R53" s="25"/>
      <c r="S53" s="25"/>
      <c r="T53" s="25"/>
      <c r="U53" s="25"/>
      <c r="V53" s="25"/>
      <c r="W53" s="25"/>
    </row>
    <row r="54" spans="1:23" ht="15.75" customHeight="1" x14ac:dyDescent="0.25">
      <c r="A54" s="562" t="s">
        <v>661</v>
      </c>
      <c r="B54" s="215"/>
      <c r="C54" s="215"/>
      <c r="D54" s="215"/>
      <c r="E54" s="215"/>
      <c r="F54" s="215"/>
      <c r="G54" s="215"/>
      <c r="H54" s="215"/>
      <c r="I54" s="215"/>
      <c r="J54" s="215"/>
      <c r="K54" s="215"/>
      <c r="L54" s="215"/>
      <c r="M54" s="215"/>
      <c r="N54" s="25"/>
      <c r="O54" s="25"/>
      <c r="P54" s="25"/>
      <c r="Q54" s="25"/>
      <c r="R54" s="25"/>
      <c r="S54" s="25"/>
      <c r="T54" s="25"/>
      <c r="U54" s="25"/>
      <c r="V54" s="25"/>
      <c r="W54" s="25"/>
    </row>
    <row r="55" spans="1:23" ht="15.75" customHeight="1" x14ac:dyDescent="0.25">
      <c r="A55" s="220"/>
      <c r="B55" s="215"/>
      <c r="C55" s="215"/>
      <c r="D55" s="215"/>
      <c r="E55" s="215"/>
      <c r="F55" s="215"/>
      <c r="G55" s="215"/>
      <c r="H55" s="215"/>
      <c r="I55" s="215"/>
      <c r="J55" s="215"/>
      <c r="K55" s="215"/>
      <c r="L55" s="215"/>
      <c r="M55" s="215"/>
      <c r="N55" s="25"/>
      <c r="O55" s="25"/>
      <c r="P55" s="25"/>
      <c r="Q55" s="25"/>
      <c r="R55" s="25"/>
      <c r="S55" s="25"/>
      <c r="T55" s="25"/>
      <c r="U55" s="25"/>
      <c r="V55" s="25"/>
      <c r="W55" s="25"/>
    </row>
    <row r="56" spans="1:23" ht="18.75" customHeight="1" x14ac:dyDescent="0.25">
      <c r="A56" s="564" t="s">
        <v>662</v>
      </c>
      <c r="B56" s="565"/>
      <c r="C56" s="565"/>
      <c r="D56" s="565"/>
      <c r="E56" s="565"/>
      <c r="F56" s="565"/>
      <c r="G56" s="565"/>
      <c r="H56" s="565"/>
      <c r="I56" s="565"/>
      <c r="J56" s="565"/>
      <c r="K56" s="565"/>
      <c r="L56" s="565"/>
      <c r="M56" s="565"/>
      <c r="N56" s="567"/>
      <c r="O56" s="567"/>
      <c r="P56" s="567"/>
      <c r="Q56" s="567"/>
      <c r="R56" s="567"/>
      <c r="S56" s="567"/>
      <c r="T56" s="567"/>
      <c r="U56" s="567"/>
      <c r="V56" s="567"/>
      <c r="W56" s="567"/>
    </row>
    <row r="57" spans="1:23" ht="15.75" customHeight="1" x14ac:dyDescent="0.25">
      <c r="A57" s="568" t="s">
        <v>42</v>
      </c>
      <c r="B57" s="569"/>
      <c r="C57" s="569"/>
      <c r="D57" s="569"/>
      <c r="E57" s="569"/>
      <c r="F57" s="569"/>
      <c r="G57" s="569"/>
      <c r="H57" s="569"/>
      <c r="I57" s="569"/>
      <c r="J57" s="569"/>
      <c r="K57" s="569"/>
      <c r="L57" s="569"/>
      <c r="M57" s="215"/>
      <c r="N57" s="25"/>
      <c r="O57" s="25"/>
      <c r="P57" s="25"/>
      <c r="Q57" s="25"/>
      <c r="R57" s="25"/>
      <c r="S57" s="25"/>
      <c r="T57" s="25"/>
      <c r="U57" s="25"/>
      <c r="V57" s="25"/>
      <c r="W57" s="25"/>
    </row>
    <row r="58" spans="1:23" ht="15.75" customHeight="1" x14ac:dyDescent="0.25">
      <c r="A58" s="570"/>
      <c r="B58" s="571">
        <v>1984</v>
      </c>
      <c r="C58" s="571">
        <v>1988</v>
      </c>
      <c r="D58" s="571">
        <v>1992</v>
      </c>
      <c r="E58" s="571">
        <v>1996</v>
      </c>
      <c r="F58" s="571">
        <v>2000</v>
      </c>
      <c r="G58" s="571">
        <v>2004</v>
      </c>
      <c r="H58" s="571">
        <v>2008</v>
      </c>
      <c r="I58" s="571">
        <v>2010</v>
      </c>
      <c r="J58" s="571">
        <v>2011</v>
      </c>
      <c r="K58" s="571">
        <v>2012</v>
      </c>
      <c r="L58" s="93">
        <v>2013</v>
      </c>
      <c r="M58" s="93">
        <v>2014</v>
      </c>
      <c r="N58" s="573"/>
      <c r="O58" s="573"/>
      <c r="P58" s="573"/>
      <c r="Q58" s="573"/>
      <c r="R58" s="573"/>
      <c r="S58" s="573"/>
      <c r="T58" s="573"/>
      <c r="U58" s="573"/>
      <c r="V58" s="573"/>
      <c r="W58" s="573"/>
    </row>
    <row r="59" spans="1:23" ht="15.75" customHeight="1" x14ac:dyDescent="0.25">
      <c r="A59" s="575" t="s">
        <v>111</v>
      </c>
      <c r="B59" s="207">
        <f t="shared" ref="B59:M59" si="2">B3</f>
        <v>91.584421678266992</v>
      </c>
      <c r="C59" s="207">
        <f t="shared" si="2"/>
        <v>89.346041265081737</v>
      </c>
      <c r="D59" s="207">
        <f t="shared" si="2"/>
        <v>88.3</v>
      </c>
      <c r="E59" s="207">
        <f t="shared" si="2"/>
        <v>82.066480446927372</v>
      </c>
      <c r="F59" s="207">
        <f t="shared" si="2"/>
        <v>91.723082746626417</v>
      </c>
      <c r="G59" s="207">
        <f t="shared" si="2"/>
        <v>80.673737373737367</v>
      </c>
      <c r="H59" s="207">
        <f t="shared" si="2"/>
        <v>91.032430439344267</v>
      </c>
      <c r="I59" s="207">
        <f t="shared" si="2"/>
        <v>86.23704311560806</v>
      </c>
      <c r="J59" s="207">
        <f t="shared" si="2"/>
        <v>86.972293984521713</v>
      </c>
      <c r="K59" s="207">
        <f t="shared" si="2"/>
        <v>86.241665718000078</v>
      </c>
      <c r="L59" s="207">
        <f t="shared" si="2"/>
        <v>85.347979240751926</v>
      </c>
      <c r="M59" s="207">
        <f t="shared" si="2"/>
        <v>86.757999999999996</v>
      </c>
      <c r="N59" s="25"/>
      <c r="P59" s="25"/>
      <c r="Q59" s="25"/>
      <c r="R59" s="25"/>
      <c r="S59" s="25"/>
      <c r="T59" s="25"/>
      <c r="U59" s="25"/>
      <c r="V59" s="25"/>
      <c r="W59" s="25"/>
    </row>
    <row r="60" spans="1:23" ht="15.75" customHeight="1" x14ac:dyDescent="0.25">
      <c r="A60" s="582" t="s">
        <v>102</v>
      </c>
      <c r="B60" s="583">
        <f t="shared" ref="B60:M60" si="3">B4</f>
        <v>0</v>
      </c>
      <c r="C60" s="583">
        <f t="shared" si="3"/>
        <v>100</v>
      </c>
      <c r="D60" s="583">
        <f t="shared" si="3"/>
        <v>100</v>
      </c>
      <c r="E60" s="583">
        <f t="shared" si="3"/>
        <v>100</v>
      </c>
      <c r="F60" s="583">
        <f t="shared" si="3"/>
        <v>95.65</v>
      </c>
      <c r="G60" s="583">
        <f t="shared" si="3"/>
        <v>97.985869565217385</v>
      </c>
      <c r="H60" s="583">
        <f t="shared" si="3"/>
        <v>98.295061728395055</v>
      </c>
      <c r="I60" s="583">
        <f t="shared" si="3"/>
        <v>96.713888888888903</v>
      </c>
      <c r="J60" s="583">
        <f t="shared" si="3"/>
        <v>95.188601036269432</v>
      </c>
      <c r="K60" s="583">
        <f t="shared" si="3"/>
        <v>94.997194412450924</v>
      </c>
      <c r="L60" s="583">
        <f t="shared" si="3"/>
        <v>93.701886792452839</v>
      </c>
      <c r="M60" s="583">
        <f t="shared" si="3"/>
        <v>94.402272727272731</v>
      </c>
      <c r="N60" s="25"/>
      <c r="P60" s="25"/>
      <c r="Q60" s="25"/>
      <c r="R60" s="25"/>
      <c r="S60" s="25"/>
      <c r="T60" s="25"/>
      <c r="U60" s="25"/>
      <c r="V60" s="25"/>
      <c r="W60" s="25"/>
    </row>
    <row r="61" spans="1:23" ht="15.75" customHeight="1" x14ac:dyDescent="0.25">
      <c r="A61" s="581" t="s">
        <v>146</v>
      </c>
      <c r="B61" s="585"/>
      <c r="C61" s="585"/>
      <c r="D61" s="585"/>
      <c r="E61" s="207">
        <f t="shared" ref="E61:M61" si="4">E5</f>
        <v>57.94979079497908</v>
      </c>
      <c r="F61" s="207">
        <f t="shared" si="4"/>
        <v>38.711469873066662</v>
      </c>
      <c r="G61" s="207">
        <f t="shared" si="4"/>
        <v>50.71394032325157</v>
      </c>
      <c r="H61" s="207">
        <f t="shared" si="4"/>
        <v>51.170725978313371</v>
      </c>
      <c r="I61" s="207">
        <f t="shared" si="4"/>
        <v>57.740383031395794</v>
      </c>
      <c r="J61" s="207">
        <f t="shared" si="4"/>
        <v>58.488443355127721</v>
      </c>
      <c r="K61" s="207">
        <f t="shared" si="4"/>
        <v>58.817756078786914</v>
      </c>
      <c r="L61" s="207">
        <f t="shared" si="4"/>
        <v>60.531131114810492</v>
      </c>
      <c r="M61" s="207">
        <f t="shared" si="4"/>
        <v>58.688764044943824</v>
      </c>
      <c r="N61" s="25"/>
      <c r="O61" s="25"/>
      <c r="P61" s="25"/>
      <c r="Q61" s="25"/>
      <c r="R61" s="25"/>
      <c r="S61" s="25"/>
      <c r="T61" s="25"/>
      <c r="U61" s="25"/>
      <c r="V61" s="25"/>
      <c r="W61" s="25"/>
    </row>
    <row r="62" spans="1:23" ht="15.75" customHeight="1" x14ac:dyDescent="0.25">
      <c r="A62" s="215" t="s">
        <v>357</v>
      </c>
      <c r="B62" s="207">
        <f t="shared" ref="B62:M62" si="5">B6</f>
        <v>41.114058355437663</v>
      </c>
      <c r="C62" s="207">
        <f t="shared" si="5"/>
        <v>53.809638748089135</v>
      </c>
      <c r="D62" s="207">
        <f t="shared" si="5"/>
        <v>69.171611965604939</v>
      </c>
      <c r="E62" s="207">
        <f t="shared" si="5"/>
        <v>84.976171434974233</v>
      </c>
      <c r="F62" s="207">
        <f t="shared" si="5"/>
        <v>75.164345114247411</v>
      </c>
      <c r="G62" s="207">
        <f t="shared" si="5"/>
        <v>87.109576536889321</v>
      </c>
      <c r="H62" s="207">
        <f t="shared" si="5"/>
        <v>83.329258646724668</v>
      </c>
      <c r="I62" s="207">
        <f t="shared" si="5"/>
        <v>85.053719059947724</v>
      </c>
      <c r="J62" s="207">
        <f t="shared" si="5"/>
        <v>84.115331418235968</v>
      </c>
      <c r="K62" s="207">
        <f t="shared" si="5"/>
        <v>82.25633118400151</v>
      </c>
      <c r="L62" s="207">
        <f t="shared" si="5"/>
        <v>80.612231205722154</v>
      </c>
      <c r="M62" s="207">
        <f t="shared" si="5"/>
        <v>82.150542454944855</v>
      </c>
      <c r="N62" s="25"/>
      <c r="O62" s="25"/>
      <c r="P62" s="25"/>
      <c r="Q62" s="25"/>
      <c r="R62" s="25"/>
      <c r="S62" s="25"/>
      <c r="T62" s="25"/>
      <c r="U62" s="25"/>
      <c r="V62" s="25"/>
      <c r="W62" s="25"/>
    </row>
    <row r="63" spans="1:23" ht="15.75" customHeight="1" x14ac:dyDescent="0.25">
      <c r="A63" s="654"/>
      <c r="B63" s="623"/>
      <c r="C63" s="623"/>
      <c r="D63" s="623"/>
      <c r="E63" s="623"/>
      <c r="F63" s="623"/>
      <c r="G63" s="623"/>
      <c r="H63" s="623"/>
      <c r="I63" s="623"/>
      <c r="J63" s="623"/>
      <c r="K63" s="623"/>
      <c r="L63" s="623"/>
      <c r="M63" s="215"/>
      <c r="N63" s="25"/>
      <c r="O63" s="25"/>
      <c r="P63" s="25"/>
      <c r="Q63" s="25"/>
      <c r="R63" s="25"/>
      <c r="S63" s="25"/>
      <c r="T63" s="25"/>
      <c r="U63" s="25"/>
      <c r="V63" s="25"/>
      <c r="W63" s="25"/>
    </row>
    <row r="64" spans="1:23" ht="15.75" customHeight="1" x14ac:dyDescent="0.25">
      <c r="A64" s="652" t="s">
        <v>43</v>
      </c>
      <c r="B64" s="653"/>
      <c r="C64" s="653"/>
      <c r="D64" s="653"/>
      <c r="E64" s="653"/>
      <c r="F64" s="653"/>
      <c r="G64" s="653"/>
      <c r="H64" s="653"/>
      <c r="I64" s="653"/>
      <c r="J64" s="653"/>
      <c r="K64" s="653"/>
      <c r="L64" s="653"/>
      <c r="M64" s="586"/>
      <c r="N64" s="588"/>
      <c r="O64" s="588"/>
      <c r="P64" s="588"/>
      <c r="Q64" s="588"/>
      <c r="R64" s="588"/>
      <c r="S64" s="588"/>
      <c r="T64" s="588"/>
      <c r="U64" s="588"/>
      <c r="V64" s="588"/>
      <c r="W64" s="588"/>
    </row>
    <row r="65" spans="1:23" ht="15.75" customHeight="1" x14ac:dyDescent="0.25">
      <c r="A65" s="582" t="s">
        <v>672</v>
      </c>
      <c r="B65" s="207">
        <f t="shared" ref="B65:M65" si="6">B17</f>
        <v>5031.5880111800952</v>
      </c>
      <c r="C65" s="207">
        <f t="shared" si="6"/>
        <v>4427.1752164591235</v>
      </c>
      <c r="D65" s="207">
        <f t="shared" si="6"/>
        <v>4189.2971456337646</v>
      </c>
      <c r="E65" s="207">
        <f t="shared" si="6"/>
        <v>3360.4493907805631</v>
      </c>
      <c r="F65" s="207">
        <f t="shared" si="6"/>
        <v>4131.837829476849</v>
      </c>
      <c r="G65" s="207">
        <f t="shared" si="6"/>
        <v>2941.0006924996701</v>
      </c>
      <c r="H65" s="207">
        <f t="shared" si="6"/>
        <v>3862.5093690521121</v>
      </c>
      <c r="I65" s="207">
        <f t="shared" si="6"/>
        <v>3421.2803516476324</v>
      </c>
      <c r="J65" s="207">
        <f t="shared" si="6"/>
        <v>3462.675423020949</v>
      </c>
      <c r="K65" s="207">
        <f t="shared" si="6"/>
        <v>3366.558239459469</v>
      </c>
      <c r="L65" s="207">
        <f t="shared" si="6"/>
        <v>3258.7267892630334</v>
      </c>
      <c r="M65" s="207">
        <f t="shared" si="6"/>
        <v>3284.6312068235106</v>
      </c>
      <c r="N65" s="25"/>
      <c r="O65" s="25"/>
      <c r="P65" s="25"/>
      <c r="Q65" s="25"/>
      <c r="R65" s="25"/>
      <c r="S65" s="25"/>
      <c r="T65" s="25"/>
      <c r="U65" s="25"/>
      <c r="V65" s="25"/>
      <c r="W65" s="25"/>
    </row>
    <row r="66" spans="1:23" ht="15.75" customHeight="1" x14ac:dyDescent="0.25">
      <c r="A66" s="582" t="s">
        <v>102</v>
      </c>
      <c r="B66" s="583">
        <f t="shared" ref="B66:M66" si="7">B18</f>
        <v>0</v>
      </c>
      <c r="C66" s="583">
        <f t="shared" si="7"/>
        <v>6164.8082285160181</v>
      </c>
      <c r="D66" s="583">
        <f t="shared" si="7"/>
        <v>7968.2621853082901</v>
      </c>
      <c r="E66" s="583">
        <f t="shared" si="7"/>
        <v>4995.0652397938966</v>
      </c>
      <c r="F66" s="583">
        <f t="shared" si="7"/>
        <v>2641.3101508916325</v>
      </c>
      <c r="G66" s="583">
        <f t="shared" si="7"/>
        <v>3085.1354749527413</v>
      </c>
      <c r="H66" s="583">
        <f t="shared" si="7"/>
        <v>3155.2178997104093</v>
      </c>
      <c r="I66" s="583">
        <f t="shared" si="7"/>
        <v>3060.3245743364414</v>
      </c>
      <c r="J66" s="583">
        <f t="shared" si="7"/>
        <v>2948.2109826938072</v>
      </c>
      <c r="K66" s="583">
        <f t="shared" si="7"/>
        <v>2914.6879980535982</v>
      </c>
      <c r="L66" s="583">
        <f t="shared" si="7"/>
        <v>2822.0426644268414</v>
      </c>
      <c r="M66" s="583">
        <f t="shared" si="7"/>
        <v>2855.3065357438013</v>
      </c>
      <c r="N66" s="25"/>
      <c r="O66" s="25"/>
      <c r="P66" s="25"/>
      <c r="Q66" s="25"/>
      <c r="R66" s="25"/>
      <c r="S66" s="25"/>
      <c r="T66" s="25"/>
      <c r="U66" s="25"/>
      <c r="V66" s="25"/>
      <c r="W66" s="25"/>
    </row>
    <row r="67" spans="1:23" ht="15.75" customHeight="1" x14ac:dyDescent="0.25">
      <c r="A67" s="581" t="s">
        <v>146</v>
      </c>
      <c r="B67" s="585"/>
      <c r="C67" s="585"/>
      <c r="D67" s="585"/>
      <c r="E67" s="207">
        <f t="shared" ref="E67:M67" si="8">E19</f>
        <v>1339.8349988719031</v>
      </c>
      <c r="F67" s="207">
        <f t="shared" si="8"/>
        <v>536.43594174459326</v>
      </c>
      <c r="G67" s="207">
        <f t="shared" si="8"/>
        <v>826.86101525214815</v>
      </c>
      <c r="H67" s="207">
        <f t="shared" si="8"/>
        <v>809.14898543085371</v>
      </c>
      <c r="I67" s="207">
        <f t="shared" si="8"/>
        <v>1023.2608125481307</v>
      </c>
      <c r="J67" s="207">
        <f t="shared" si="8"/>
        <v>1054.8350174804493</v>
      </c>
      <c r="K67" s="207">
        <f t="shared" si="8"/>
        <v>1072.0547949433039</v>
      </c>
      <c r="L67" s="207">
        <f t="shared" si="8"/>
        <v>1131.1555618640405</v>
      </c>
      <c r="M67" s="207">
        <f t="shared" si="8"/>
        <v>1076.3365234178568</v>
      </c>
      <c r="N67" s="25"/>
      <c r="O67" s="56"/>
      <c r="P67" s="56"/>
      <c r="Q67" s="56"/>
      <c r="R67" s="56"/>
      <c r="S67" s="56"/>
      <c r="T67" s="56"/>
      <c r="U67" s="56"/>
      <c r="V67" s="25"/>
      <c r="W67" s="25"/>
    </row>
    <row r="68" spans="1:23" ht="16.5" customHeight="1" x14ac:dyDescent="0.25">
      <c r="A68" s="565" t="s">
        <v>357</v>
      </c>
      <c r="B68" s="593">
        <f t="shared" ref="B68:M68" si="9">B20</f>
        <v>760.65637301246875</v>
      </c>
      <c r="C68" s="593">
        <f t="shared" si="9"/>
        <v>1010.9557777758484</v>
      </c>
      <c r="D68" s="593">
        <f t="shared" si="9"/>
        <v>1599.1150978814303</v>
      </c>
      <c r="E68" s="593">
        <f t="shared" si="9"/>
        <v>2314.5581864967471</v>
      </c>
      <c r="F68" s="593">
        <f t="shared" si="9"/>
        <v>1728.8963126933834</v>
      </c>
      <c r="G68" s="593">
        <f t="shared" si="9"/>
        <v>2205.6926218266995</v>
      </c>
      <c r="H68" s="593">
        <f t="shared" si="9"/>
        <v>1947.8814498903726</v>
      </c>
      <c r="I68" s="593">
        <f t="shared" si="9"/>
        <v>2032.0632426852358</v>
      </c>
      <c r="J68" s="593">
        <f t="shared" si="9"/>
        <v>1980.7016969431977</v>
      </c>
      <c r="K68" s="593">
        <f t="shared" si="9"/>
        <v>1882.6753670593846</v>
      </c>
      <c r="L68" s="593">
        <f t="shared" si="9"/>
        <v>1818.6934115554773</v>
      </c>
      <c r="M68" s="593">
        <f t="shared" si="9"/>
        <v>1924.4610907916306</v>
      </c>
      <c r="N68" s="25"/>
      <c r="O68" s="9"/>
      <c r="P68" s="9"/>
      <c r="Q68" s="25"/>
      <c r="R68" s="25"/>
      <c r="S68" s="25"/>
      <c r="T68" s="25"/>
      <c r="U68" s="25"/>
      <c r="V68" s="25"/>
      <c r="W68" s="25"/>
    </row>
    <row r="69" spans="1:23" ht="15.75" customHeight="1" x14ac:dyDescent="0.25">
      <c r="A69" s="595"/>
      <c r="B69" s="490"/>
      <c r="C69" s="490"/>
      <c r="D69" s="490"/>
      <c r="E69" s="490"/>
      <c r="F69" s="490"/>
      <c r="G69" s="490"/>
      <c r="H69" s="490"/>
      <c r="I69" s="490"/>
      <c r="J69" s="490"/>
      <c r="K69" s="490"/>
      <c r="L69" s="490"/>
      <c r="M69" s="490"/>
      <c r="N69" s="457"/>
      <c r="O69" s="457"/>
      <c r="P69" s="457"/>
      <c r="Q69" s="457"/>
      <c r="R69" s="457"/>
      <c r="S69" s="457"/>
      <c r="T69" s="457"/>
      <c r="U69" s="457"/>
      <c r="V69" s="457"/>
      <c r="W69" s="457"/>
    </row>
    <row r="70" spans="1:23" ht="15.75" customHeight="1" x14ac:dyDescent="0.25">
      <c r="A70" s="220"/>
      <c r="B70" s="215"/>
      <c r="C70" s="215"/>
      <c r="D70" s="215"/>
      <c r="E70" s="215"/>
      <c r="F70" s="215"/>
      <c r="G70" s="215"/>
      <c r="H70" s="215"/>
      <c r="I70" s="215"/>
      <c r="J70" s="215"/>
      <c r="K70" s="215"/>
      <c r="L70" s="215"/>
      <c r="M70" s="215"/>
      <c r="N70" s="25"/>
      <c r="O70" s="25"/>
      <c r="P70" s="25"/>
      <c r="Q70" s="25"/>
      <c r="R70" s="25"/>
      <c r="S70" s="25"/>
      <c r="T70" s="25"/>
      <c r="U70" s="25"/>
      <c r="V70" s="25"/>
      <c r="W70" s="25"/>
    </row>
    <row r="71" spans="1:23" ht="18.75" customHeight="1" x14ac:dyDescent="0.25">
      <c r="A71" s="597" t="s">
        <v>676</v>
      </c>
      <c r="B71" s="598"/>
      <c r="C71" s="598"/>
      <c r="D71" s="598"/>
      <c r="E71" s="598"/>
      <c r="F71" s="598"/>
      <c r="G71" s="599"/>
      <c r="H71" s="598"/>
      <c r="I71" s="598"/>
      <c r="J71" s="598"/>
      <c r="K71" s="393"/>
      <c r="L71" s="393"/>
      <c r="M71" s="393"/>
      <c r="N71" s="60"/>
      <c r="O71" s="60"/>
      <c r="P71" s="60"/>
      <c r="Q71" s="60"/>
      <c r="R71" s="60"/>
      <c r="S71" s="60"/>
      <c r="T71" s="60"/>
      <c r="U71" s="60"/>
      <c r="V71" s="60"/>
      <c r="W71" s="60"/>
    </row>
    <row r="72" spans="1:23" ht="15.75" customHeight="1" x14ac:dyDescent="0.25">
      <c r="A72" s="600" t="s">
        <v>42</v>
      </c>
      <c r="B72" s="601"/>
      <c r="C72" s="601"/>
      <c r="D72" s="601"/>
      <c r="E72" s="601"/>
      <c r="F72" s="601"/>
      <c r="G72" s="601"/>
      <c r="H72" s="601"/>
      <c r="I72" s="601"/>
      <c r="J72" s="601"/>
      <c r="K72" s="601"/>
      <c r="L72" s="602"/>
      <c r="M72" s="602"/>
      <c r="N72" s="603"/>
      <c r="O72" s="603"/>
      <c r="P72" s="603"/>
      <c r="Q72" s="603"/>
      <c r="R72" s="603"/>
      <c r="S72" s="603"/>
      <c r="T72" s="603"/>
      <c r="U72" s="603"/>
      <c r="V72" s="603"/>
      <c r="W72" s="603"/>
    </row>
    <row r="73" spans="1:23" ht="15.75" customHeight="1" x14ac:dyDescent="0.25">
      <c r="A73" s="313"/>
      <c r="B73" s="313">
        <v>1984</v>
      </c>
      <c r="C73" s="313">
        <v>1988</v>
      </c>
      <c r="D73" s="313">
        <v>1992</v>
      </c>
      <c r="E73" s="313">
        <v>1996</v>
      </c>
      <c r="F73" s="313">
        <v>2000</v>
      </c>
      <c r="G73" s="313">
        <v>2004</v>
      </c>
      <c r="H73" s="313">
        <v>2008</v>
      </c>
      <c r="I73" s="313">
        <v>2010</v>
      </c>
      <c r="J73" s="313">
        <v>2011</v>
      </c>
      <c r="K73" s="313">
        <v>2012</v>
      </c>
      <c r="L73" s="321">
        <v>2013</v>
      </c>
      <c r="M73" s="321">
        <v>2014</v>
      </c>
      <c r="N73" s="12"/>
      <c r="O73" s="83"/>
      <c r="P73" s="83"/>
      <c r="Q73" s="83"/>
      <c r="R73" s="83"/>
      <c r="S73" s="83"/>
      <c r="T73" s="83"/>
      <c r="U73" s="83"/>
      <c r="V73" s="12"/>
      <c r="W73" s="12"/>
    </row>
    <row r="74" spans="1:23" ht="15.75" customHeight="1" x14ac:dyDescent="0.25">
      <c r="A74" s="220" t="s">
        <v>450</v>
      </c>
      <c r="B74" s="604">
        <f t="shared" ref="B74:M74" si="10">B7</f>
        <v>57.503729293322898</v>
      </c>
      <c r="C74" s="604">
        <f t="shared" si="10"/>
        <v>58.966196901439687</v>
      </c>
      <c r="D74" s="604">
        <f t="shared" si="10"/>
        <v>58.380600135919273</v>
      </c>
      <c r="E74" s="604">
        <f t="shared" si="10"/>
        <v>65.008684791906092</v>
      </c>
      <c r="F74" s="604">
        <f t="shared" si="10"/>
        <v>63.311590326440694</v>
      </c>
      <c r="G74" s="604">
        <f t="shared" si="10"/>
        <v>63.279932602081772</v>
      </c>
      <c r="H74" s="604">
        <f t="shared" si="10"/>
        <v>69.859209112257815</v>
      </c>
      <c r="I74" s="604">
        <f t="shared" si="10"/>
        <v>75.446807278507464</v>
      </c>
      <c r="J74" s="604">
        <f t="shared" si="10"/>
        <v>77.626997806568042</v>
      </c>
      <c r="K74" s="604">
        <f t="shared" si="10"/>
        <v>76.630864771075508</v>
      </c>
      <c r="L74" s="604">
        <f t="shared" si="10"/>
        <v>79.77833442782881</v>
      </c>
      <c r="M74" s="604">
        <f t="shared" si="10"/>
        <v>85.099415384243215</v>
      </c>
      <c r="N74" s="25"/>
      <c r="O74" s="25"/>
      <c r="P74" s="25"/>
      <c r="Q74" s="25"/>
      <c r="R74" s="25"/>
      <c r="S74" s="25"/>
      <c r="T74" s="25"/>
      <c r="U74" s="25"/>
      <c r="V74" s="25"/>
      <c r="W74" s="25"/>
    </row>
    <row r="75" spans="1:23" ht="15.75" customHeight="1" x14ac:dyDescent="0.25">
      <c r="A75" s="220" t="s">
        <v>461</v>
      </c>
      <c r="B75" s="210"/>
      <c r="C75" s="532">
        <f t="shared" ref="C75:M75" si="11">C8</f>
        <v>79.49438202247191</v>
      </c>
      <c r="D75" s="532">
        <f t="shared" si="11"/>
        <v>66.171707356573137</v>
      </c>
      <c r="E75" s="532">
        <f t="shared" si="11"/>
        <v>62.183963399951843</v>
      </c>
      <c r="F75" s="532">
        <f t="shared" si="11"/>
        <v>44.866663360701992</v>
      </c>
      <c r="G75" s="532">
        <f t="shared" si="11"/>
        <v>59.868264638647766</v>
      </c>
      <c r="H75" s="532">
        <f t="shared" si="11"/>
        <v>71.34315442348219</v>
      </c>
      <c r="I75" s="532">
        <f t="shared" si="11"/>
        <v>74.651989282281221</v>
      </c>
      <c r="J75" s="532">
        <f t="shared" si="11"/>
        <v>80.013912945573367</v>
      </c>
      <c r="K75" s="532">
        <f t="shared" si="11"/>
        <v>78.419778822745414</v>
      </c>
      <c r="L75" s="532">
        <f t="shared" si="11"/>
        <v>74.981806377618739</v>
      </c>
      <c r="M75" s="532">
        <f t="shared" si="11"/>
        <v>84.036144578313269</v>
      </c>
      <c r="N75" s="25"/>
      <c r="O75" s="25"/>
      <c r="P75" s="25"/>
      <c r="Q75" s="25"/>
      <c r="R75" s="25"/>
      <c r="S75" s="25"/>
      <c r="T75" s="25"/>
      <c r="U75" s="25"/>
      <c r="V75" s="25"/>
      <c r="W75" s="25"/>
    </row>
    <row r="76" spans="1:23" ht="15.75" customHeight="1" x14ac:dyDescent="0.25">
      <c r="A76" s="220" t="s">
        <v>465</v>
      </c>
      <c r="B76" s="532">
        <f t="shared" ref="B76:M76" si="12">B9</f>
        <v>66.222669908560135</v>
      </c>
      <c r="C76" s="532">
        <f t="shared" si="12"/>
        <v>66.972940770470885</v>
      </c>
      <c r="D76" s="532">
        <f t="shared" si="12"/>
        <v>66.8150459841968</v>
      </c>
      <c r="E76" s="532">
        <f t="shared" si="12"/>
        <v>70.469934211613051</v>
      </c>
      <c r="F76" s="532">
        <f t="shared" si="12"/>
        <v>81.487181524245173</v>
      </c>
      <c r="G76" s="532">
        <f t="shared" si="12"/>
        <v>84.815707840880307</v>
      </c>
      <c r="H76" s="532">
        <f t="shared" si="12"/>
        <v>86.229549679315625</v>
      </c>
      <c r="I76" s="532">
        <f t="shared" si="12"/>
        <v>87.809088577381516</v>
      </c>
      <c r="J76" s="532">
        <f t="shared" si="12"/>
        <v>86.335147101407486</v>
      </c>
      <c r="K76" s="532">
        <f t="shared" si="12"/>
        <v>86.07049798077179</v>
      </c>
      <c r="L76" s="532">
        <f t="shared" si="12"/>
        <v>85.927874518161019</v>
      </c>
      <c r="M76" s="532">
        <f t="shared" si="12"/>
        <v>86.564888392259419</v>
      </c>
      <c r="N76" s="56"/>
      <c r="O76" s="56"/>
      <c r="P76" s="56"/>
      <c r="Q76" s="56"/>
      <c r="R76" s="56"/>
      <c r="S76" s="56"/>
      <c r="T76" s="56"/>
      <c r="U76" s="56"/>
      <c r="V76" s="56"/>
      <c r="W76" s="56"/>
    </row>
    <row r="77" spans="1:23" ht="15.75" customHeight="1" x14ac:dyDescent="0.25">
      <c r="A77" s="220" t="s">
        <v>99</v>
      </c>
      <c r="B77" s="532">
        <f t="shared" ref="B77:M77" si="13">B10</f>
        <v>47.550869404365507</v>
      </c>
      <c r="C77" s="532">
        <f t="shared" si="13"/>
        <v>44.334423428407355</v>
      </c>
      <c r="D77" s="532">
        <f t="shared" si="13"/>
        <v>45.926412551691058</v>
      </c>
      <c r="E77" s="532">
        <f t="shared" si="13"/>
        <v>47.749593738569629</v>
      </c>
      <c r="F77" s="532">
        <f t="shared" si="13"/>
        <v>53.609317897672632</v>
      </c>
      <c r="G77" s="532">
        <f t="shared" si="13"/>
        <v>57.582137693038035</v>
      </c>
      <c r="H77" s="532">
        <f t="shared" si="13"/>
        <v>61.710216864142076</v>
      </c>
      <c r="I77" s="532">
        <f t="shared" si="13"/>
        <v>58.036196074199196</v>
      </c>
      <c r="J77" s="532">
        <f t="shared" si="13"/>
        <v>53.993558489977353</v>
      </c>
      <c r="K77" s="532">
        <f t="shared" si="13"/>
        <v>53.138349009385799</v>
      </c>
      <c r="L77" s="532">
        <f t="shared" si="13"/>
        <v>56.819574711211764</v>
      </c>
      <c r="M77" s="532">
        <f t="shared" si="13"/>
        <v>58.01755400220739</v>
      </c>
      <c r="N77" s="25"/>
      <c r="O77" s="25"/>
      <c r="P77" s="25"/>
      <c r="Q77" s="25"/>
      <c r="R77" s="25"/>
      <c r="S77" s="25"/>
      <c r="T77" s="25"/>
      <c r="U77" s="25"/>
      <c r="V77" s="25"/>
      <c r="W77" s="25"/>
    </row>
    <row r="78" spans="1:23" ht="15.75" customHeight="1" x14ac:dyDescent="0.25">
      <c r="A78" s="220" t="s">
        <v>490</v>
      </c>
      <c r="B78" s="532">
        <f t="shared" ref="B78:M78" si="14">B11</f>
        <v>64.30512857532797</v>
      </c>
      <c r="C78" s="532">
        <f t="shared" si="14"/>
        <v>67.242100312383243</v>
      </c>
      <c r="D78" s="532">
        <f t="shared" si="14"/>
        <v>70.158705239565265</v>
      </c>
      <c r="E78" s="532">
        <f t="shared" si="14"/>
        <v>66.721782477341392</v>
      </c>
      <c r="F78" s="532">
        <f t="shared" si="14"/>
        <v>67.884093732596483</v>
      </c>
      <c r="G78" s="532">
        <f t="shared" si="14"/>
        <v>69.498211566783738</v>
      </c>
      <c r="H78" s="532">
        <f t="shared" si="14"/>
        <v>74.521218466016762</v>
      </c>
      <c r="I78" s="532">
        <f t="shared" si="14"/>
        <v>73.259594036947917</v>
      </c>
      <c r="J78" s="532">
        <f t="shared" si="14"/>
        <v>74.121871766215492</v>
      </c>
      <c r="K78" s="532">
        <f t="shared" si="14"/>
        <v>67.256864738904767</v>
      </c>
      <c r="L78" s="532">
        <f t="shared" si="14"/>
        <v>67.443740304104267</v>
      </c>
      <c r="M78" s="532">
        <f t="shared" si="14"/>
        <v>72.125797172666509</v>
      </c>
      <c r="N78" s="25"/>
      <c r="O78" s="25"/>
      <c r="P78" s="25"/>
      <c r="Q78" s="25"/>
      <c r="R78" s="25"/>
      <c r="S78" s="25"/>
      <c r="T78" s="25"/>
      <c r="U78" s="25"/>
      <c r="V78" s="25"/>
      <c r="W78" s="25"/>
    </row>
    <row r="79" spans="1:23" ht="15.75" customHeight="1" x14ac:dyDescent="0.25">
      <c r="A79" s="220" t="s">
        <v>514</v>
      </c>
      <c r="B79" s="248">
        <f t="shared" ref="B79:M79" si="15">B12</f>
        <v>40.54474708171206</v>
      </c>
      <c r="C79" s="248">
        <f t="shared" si="15"/>
        <v>74.56774193548388</v>
      </c>
      <c r="D79" s="248">
        <f t="shared" si="15"/>
        <v>66.737096287352855</v>
      </c>
      <c r="E79" s="248">
        <f t="shared" si="15"/>
        <v>47.280458860759488</v>
      </c>
      <c r="F79" s="248">
        <f t="shared" si="15"/>
        <v>43.123076923076923</v>
      </c>
      <c r="G79" s="248">
        <f t="shared" si="15"/>
        <v>32.353418872827682</v>
      </c>
      <c r="H79" s="248">
        <f t="shared" si="15"/>
        <v>26.724858002004673</v>
      </c>
      <c r="I79" s="248">
        <f t="shared" si="15"/>
        <v>28.305926446474583</v>
      </c>
      <c r="J79" s="248">
        <f t="shared" si="15"/>
        <v>28.231321839080458</v>
      </c>
      <c r="K79" s="248">
        <f t="shared" si="15"/>
        <v>25.788442703232125</v>
      </c>
      <c r="L79" s="248">
        <f t="shared" si="15"/>
        <v>27.017603947401458</v>
      </c>
      <c r="M79" s="248">
        <f t="shared" si="15"/>
        <v>25.201943578809253</v>
      </c>
      <c r="N79" s="25"/>
      <c r="O79" s="56"/>
      <c r="P79" s="56"/>
      <c r="Q79" s="56"/>
      <c r="R79" s="56"/>
      <c r="S79" s="56"/>
      <c r="T79" s="56"/>
      <c r="U79" s="56"/>
      <c r="V79" s="25"/>
      <c r="W79" s="25"/>
    </row>
    <row r="80" spans="1:23" ht="15.75" customHeight="1" x14ac:dyDescent="0.25">
      <c r="A80" s="104"/>
      <c r="B80" s="305"/>
      <c r="C80" s="305"/>
      <c r="D80" s="305"/>
      <c r="E80" s="305"/>
      <c r="F80" s="305"/>
      <c r="G80" s="305"/>
      <c r="H80" s="305"/>
      <c r="I80" s="305"/>
      <c r="J80" s="305"/>
      <c r="K80" s="215"/>
      <c r="L80" s="215"/>
      <c r="M80" s="215"/>
      <c r="N80" s="25"/>
      <c r="O80" s="25"/>
      <c r="P80" s="25"/>
      <c r="Q80" s="25"/>
      <c r="R80" s="25"/>
      <c r="S80" s="25"/>
      <c r="T80" s="25"/>
      <c r="U80" s="25"/>
      <c r="V80" s="25"/>
      <c r="W80" s="25"/>
    </row>
    <row r="81" spans="1:23" ht="15.75" customHeight="1" x14ac:dyDescent="0.25">
      <c r="A81" s="606" t="s">
        <v>43</v>
      </c>
      <c r="B81" s="607"/>
      <c r="C81" s="607"/>
      <c r="D81" s="607"/>
      <c r="E81" s="607"/>
      <c r="F81" s="608"/>
      <c r="G81" s="608"/>
      <c r="H81" s="607"/>
      <c r="I81" s="607"/>
      <c r="J81" s="607"/>
      <c r="K81" s="586"/>
      <c r="L81" s="586"/>
      <c r="M81" s="586"/>
      <c r="N81" s="588"/>
      <c r="O81" s="588"/>
      <c r="P81" s="588"/>
      <c r="Q81" s="588"/>
      <c r="R81" s="588"/>
      <c r="S81" s="588"/>
      <c r="T81" s="588"/>
      <c r="U81" s="588"/>
      <c r="V81" s="588"/>
      <c r="W81" s="588"/>
    </row>
    <row r="82" spans="1:23" ht="15.75" customHeight="1" x14ac:dyDescent="0.25">
      <c r="A82" s="313"/>
      <c r="B82" s="313">
        <v>1984</v>
      </c>
      <c r="C82" s="313">
        <v>1988</v>
      </c>
      <c r="D82" s="313">
        <v>1992</v>
      </c>
      <c r="E82" s="313">
        <v>1996</v>
      </c>
      <c r="F82" s="313">
        <v>2000</v>
      </c>
      <c r="G82" s="313">
        <v>2004</v>
      </c>
      <c r="H82" s="313">
        <v>2008</v>
      </c>
      <c r="I82" s="313">
        <v>2010</v>
      </c>
      <c r="J82" s="313">
        <v>2011</v>
      </c>
      <c r="K82" s="313">
        <v>2012</v>
      </c>
      <c r="L82" s="321">
        <v>2013</v>
      </c>
      <c r="M82" s="321">
        <v>2014</v>
      </c>
      <c r="N82" s="83"/>
      <c r="O82" s="83"/>
      <c r="P82" s="83"/>
      <c r="Q82" s="83"/>
      <c r="R82" s="83"/>
      <c r="S82" s="83"/>
      <c r="T82" s="83"/>
      <c r="U82" s="83"/>
      <c r="V82" s="83"/>
      <c r="W82" s="83"/>
    </row>
    <row r="83" spans="1:23" ht="15.75" customHeight="1" x14ac:dyDescent="0.25">
      <c r="A83" s="220" t="s">
        <v>450</v>
      </c>
      <c r="B83" s="248">
        <f t="shared" ref="B83:M83" si="16">B21</f>
        <v>1707.4477454376877</v>
      </c>
      <c r="C83" s="248">
        <f t="shared" si="16"/>
        <v>1596.7265068296708</v>
      </c>
      <c r="D83" s="248">
        <f t="shared" si="16"/>
        <v>1465.568591177288</v>
      </c>
      <c r="E83" s="248">
        <f t="shared" si="16"/>
        <v>1506.5320931446427</v>
      </c>
      <c r="F83" s="248">
        <f t="shared" si="16"/>
        <v>1355.2785081315033</v>
      </c>
      <c r="G83" s="248">
        <f t="shared" si="16"/>
        <v>1283.1148776055741</v>
      </c>
      <c r="H83" s="248">
        <f t="shared" si="16"/>
        <v>1530.7934495710219</v>
      </c>
      <c r="I83" s="248">
        <f t="shared" si="16"/>
        <v>1656.9943665018141</v>
      </c>
      <c r="J83" s="248">
        <f t="shared" si="16"/>
        <v>1724.6901654268763</v>
      </c>
      <c r="K83" s="248">
        <f t="shared" si="16"/>
        <v>1680.931090703752</v>
      </c>
      <c r="L83" s="248">
        <f t="shared" si="16"/>
        <v>1808.3990992062534</v>
      </c>
      <c r="M83" s="248">
        <f t="shared" si="16"/>
        <v>2127.7754968692616</v>
      </c>
      <c r="N83" s="25"/>
      <c r="O83" s="25"/>
      <c r="P83" s="25"/>
      <c r="Q83" s="25"/>
      <c r="R83" s="25"/>
      <c r="S83" s="25"/>
      <c r="T83" s="25"/>
      <c r="U83" s="25"/>
      <c r="V83" s="25"/>
      <c r="W83" s="25"/>
    </row>
    <row r="84" spans="1:23" ht="15.75" customHeight="1" x14ac:dyDescent="0.25">
      <c r="A84" s="220" t="s">
        <v>461</v>
      </c>
      <c r="B84" s="215"/>
      <c r="C84" s="248">
        <f t="shared" ref="C84:M84" si="17">C22</f>
        <v>1787.9884168665571</v>
      </c>
      <c r="D84" s="248">
        <f t="shared" si="17"/>
        <v>1385.5910499881627</v>
      </c>
      <c r="E84" s="248">
        <f t="shared" si="17"/>
        <v>1443.3322818227364</v>
      </c>
      <c r="F84" s="248">
        <f t="shared" si="17"/>
        <v>709.60935608889054</v>
      </c>
      <c r="G84" s="248">
        <f t="shared" si="17"/>
        <v>1072.312740932259</v>
      </c>
      <c r="H84" s="248">
        <f t="shared" si="17"/>
        <v>1434.5500172445002</v>
      </c>
      <c r="I84" s="248">
        <f t="shared" si="17"/>
        <v>1598.432120153843</v>
      </c>
      <c r="J84" s="248">
        <f t="shared" si="17"/>
        <v>1834.5788800923594</v>
      </c>
      <c r="K84" s="248">
        <f t="shared" si="17"/>
        <v>1760.4045568866256</v>
      </c>
      <c r="L84" s="248">
        <f t="shared" si="17"/>
        <v>1964.3529347265353</v>
      </c>
      <c r="M84" s="248">
        <f t="shared" si="17"/>
        <v>2582.6853455637533</v>
      </c>
      <c r="N84" s="25"/>
      <c r="O84" s="25"/>
      <c r="P84" s="25"/>
      <c r="Q84" s="25"/>
      <c r="R84" s="25"/>
      <c r="S84" s="25"/>
      <c r="T84" s="25"/>
      <c r="U84" s="25"/>
      <c r="V84" s="25"/>
      <c r="W84" s="25"/>
    </row>
    <row r="85" spans="1:23" ht="15.75" customHeight="1" x14ac:dyDescent="0.25">
      <c r="A85" s="220" t="s">
        <v>465</v>
      </c>
      <c r="B85" s="248">
        <f t="shared" ref="B85:M85" si="18">B23</f>
        <v>2467.1300079591197</v>
      </c>
      <c r="C85" s="248">
        <f t="shared" si="18"/>
        <v>2298.9776520609844</v>
      </c>
      <c r="D85" s="248">
        <f t="shared" si="18"/>
        <v>2039.5643011180412</v>
      </c>
      <c r="E85" s="248">
        <f t="shared" si="18"/>
        <v>2026.8308786661869</v>
      </c>
      <c r="F85" s="248">
        <f t="shared" si="18"/>
        <v>2202.3611544137948</v>
      </c>
      <c r="G85" s="248">
        <f t="shared" si="18"/>
        <v>2229.4666056696465</v>
      </c>
      <c r="H85" s="248">
        <f t="shared" si="18"/>
        <v>2343.3170457883666</v>
      </c>
      <c r="I85" s="248">
        <f t="shared" si="18"/>
        <v>2465.2690304568564</v>
      </c>
      <c r="J85" s="248">
        <f t="shared" si="18"/>
        <v>2413.7721879312066</v>
      </c>
      <c r="K85" s="248">
        <f t="shared" si="18"/>
        <v>2492.4929837070836</v>
      </c>
      <c r="L85" s="248">
        <f t="shared" si="18"/>
        <v>2452.6263980218159</v>
      </c>
      <c r="M85" s="248">
        <f t="shared" si="18"/>
        <v>2578.6328284934875</v>
      </c>
      <c r="N85" s="25"/>
      <c r="O85" s="25"/>
      <c r="P85" s="25"/>
      <c r="Q85" s="25"/>
      <c r="R85" s="25"/>
      <c r="S85" s="25"/>
      <c r="T85" s="25"/>
      <c r="U85" s="25"/>
      <c r="V85" s="25"/>
      <c r="W85" s="25"/>
    </row>
    <row r="86" spans="1:23" ht="15.75" customHeight="1" x14ac:dyDescent="0.25">
      <c r="A86" s="220" t="s">
        <v>99</v>
      </c>
      <c r="B86" s="532">
        <f t="shared" ref="B86:M86" si="19">B24</f>
        <v>1116.6144244279585</v>
      </c>
      <c r="C86" s="532">
        <f t="shared" si="19"/>
        <v>904.74391572049888</v>
      </c>
      <c r="D86" s="532">
        <f t="shared" si="19"/>
        <v>880.34848689121281</v>
      </c>
      <c r="E86" s="532">
        <f t="shared" si="19"/>
        <v>968.36208100312842</v>
      </c>
      <c r="F86" s="532">
        <f t="shared" si="19"/>
        <v>931.54068344891982</v>
      </c>
      <c r="G86" s="532">
        <f t="shared" si="19"/>
        <v>1022.2870410447542</v>
      </c>
      <c r="H86" s="532">
        <f t="shared" si="19"/>
        <v>1100.6084399387023</v>
      </c>
      <c r="I86" s="532">
        <f t="shared" si="19"/>
        <v>990.87802125477083</v>
      </c>
      <c r="J86" s="532">
        <f t="shared" si="19"/>
        <v>895.52542784724187</v>
      </c>
      <c r="K86" s="532">
        <f t="shared" si="19"/>
        <v>873.04623400160961</v>
      </c>
      <c r="L86" s="532">
        <f t="shared" si="19"/>
        <v>963.79256361321018</v>
      </c>
      <c r="M86" s="532">
        <f t="shared" si="19"/>
        <v>1022.9708635794045</v>
      </c>
      <c r="N86" s="25"/>
      <c r="O86" s="25"/>
      <c r="P86" s="25"/>
      <c r="Q86" s="25"/>
      <c r="R86" s="25"/>
      <c r="S86" s="25"/>
      <c r="T86" s="25"/>
      <c r="U86" s="25"/>
      <c r="V86" s="25"/>
      <c r="W86" s="25"/>
    </row>
    <row r="87" spans="1:23" ht="15.75" customHeight="1" x14ac:dyDescent="0.25">
      <c r="A87" s="220" t="s">
        <v>490</v>
      </c>
      <c r="B87" s="532">
        <f t="shared" ref="B87:M87" si="20">B25</f>
        <v>1314.8526441598092</v>
      </c>
      <c r="C87" s="532">
        <f t="shared" si="20"/>
        <v>1371.1573919278687</v>
      </c>
      <c r="D87" s="532">
        <f t="shared" si="20"/>
        <v>1562.0762518910769</v>
      </c>
      <c r="E87" s="532">
        <f t="shared" si="20"/>
        <v>1497.7897245768743</v>
      </c>
      <c r="F87" s="532">
        <f t="shared" si="20"/>
        <v>1330.4274795745032</v>
      </c>
      <c r="G87" s="532">
        <f t="shared" si="20"/>
        <v>1457.0390184777207</v>
      </c>
      <c r="H87" s="532">
        <f t="shared" si="20"/>
        <v>1596.419855638648</v>
      </c>
      <c r="I87" s="532">
        <f t="shared" si="20"/>
        <v>1545.5517493248583</v>
      </c>
      <c r="J87" s="532">
        <f t="shared" si="20"/>
        <v>1571.7009142369482</v>
      </c>
      <c r="K87" s="532">
        <f t="shared" si="20"/>
        <v>1328.3205142126237</v>
      </c>
      <c r="L87" s="532">
        <f t="shared" si="20"/>
        <v>1358.1143538671886</v>
      </c>
      <c r="M87" s="532">
        <f t="shared" si="20"/>
        <v>1571.2138481869551</v>
      </c>
      <c r="N87" s="25"/>
      <c r="O87" s="25"/>
      <c r="P87" s="25"/>
      <c r="Q87" s="25"/>
      <c r="R87" s="25"/>
      <c r="S87" s="25"/>
      <c r="T87" s="25"/>
      <c r="U87" s="25"/>
      <c r="V87" s="25"/>
      <c r="W87" s="25"/>
    </row>
    <row r="88" spans="1:23" ht="16.5" customHeight="1" x14ac:dyDescent="0.25">
      <c r="A88" s="610" t="s">
        <v>514</v>
      </c>
      <c r="B88" s="611">
        <f t="shared" ref="B88:M88" si="21">B26</f>
        <v>529.88555634621423</v>
      </c>
      <c r="C88" s="611">
        <f t="shared" si="21"/>
        <v>2314.6444120707602</v>
      </c>
      <c r="D88" s="611">
        <f t="shared" si="21"/>
        <v>1785.920066838836</v>
      </c>
      <c r="E88" s="611">
        <f t="shared" si="21"/>
        <v>782.18798526882711</v>
      </c>
      <c r="F88" s="611">
        <f t="shared" si="21"/>
        <v>733.80639053254458</v>
      </c>
      <c r="G88" s="611">
        <f t="shared" si="21"/>
        <v>386.5900540709502</v>
      </c>
      <c r="H88" s="611">
        <f t="shared" si="21"/>
        <v>265.0912568964514</v>
      </c>
      <c r="I88" s="611">
        <f t="shared" si="21"/>
        <v>291.81162318696653</v>
      </c>
      <c r="J88" s="611">
        <f t="shared" si="21"/>
        <v>284.36097144976412</v>
      </c>
      <c r="K88" s="611">
        <f t="shared" si="21"/>
        <v>233.00435757621628</v>
      </c>
      <c r="L88" s="611">
        <f t="shared" si="21"/>
        <v>258.26880795460522</v>
      </c>
      <c r="M88" s="611">
        <f t="shared" si="21"/>
        <v>218.47073077134758</v>
      </c>
      <c r="N88" s="567"/>
      <c r="O88" s="567"/>
      <c r="P88" s="567"/>
      <c r="Q88" s="567"/>
      <c r="R88" s="567"/>
      <c r="S88" s="567"/>
      <c r="T88" s="567"/>
      <c r="U88" s="567"/>
      <c r="V88" s="567"/>
      <c r="W88" s="567"/>
    </row>
    <row r="89" spans="1:23" ht="15.75" customHeight="1" x14ac:dyDescent="0.25">
      <c r="A89" s="220"/>
      <c r="B89" s="210"/>
      <c r="C89" s="210"/>
      <c r="D89" s="210"/>
      <c r="E89" s="210"/>
      <c r="F89" s="210"/>
      <c r="G89" s="210"/>
      <c r="H89" s="339"/>
      <c r="I89" s="339"/>
      <c r="J89" s="210"/>
      <c r="K89" s="215"/>
      <c r="L89" s="215"/>
      <c r="M89" s="215"/>
      <c r="N89" s="25"/>
      <c r="O89" s="25"/>
      <c r="P89" s="25"/>
      <c r="Q89" s="25"/>
      <c r="R89" s="25"/>
      <c r="S89" s="25"/>
      <c r="T89" s="25"/>
      <c r="U89" s="25"/>
      <c r="V89" s="25"/>
      <c r="W89" s="25"/>
    </row>
    <row r="90" spans="1:23" ht="15.75" customHeight="1" x14ac:dyDescent="0.25">
      <c r="A90" s="220"/>
      <c r="B90" s="212"/>
      <c r="C90" s="212"/>
      <c r="D90" s="212"/>
      <c r="E90" s="212"/>
      <c r="F90" s="212"/>
      <c r="G90" s="212"/>
      <c r="H90" s="612"/>
      <c r="I90" s="612"/>
      <c r="J90" s="212"/>
      <c r="K90" s="215"/>
      <c r="L90" s="215"/>
      <c r="M90" s="215"/>
      <c r="N90" s="25"/>
      <c r="O90" s="25"/>
      <c r="P90" s="25"/>
      <c r="Q90" s="25"/>
      <c r="R90" s="25"/>
      <c r="S90" s="25"/>
      <c r="T90" s="25"/>
      <c r="U90" s="25"/>
      <c r="V90" s="25"/>
      <c r="W90" s="25"/>
    </row>
    <row r="91" spans="1:23" ht="12.75" customHeight="1" x14ac:dyDescent="0.25">
      <c r="A91" s="220"/>
      <c r="B91" s="212"/>
      <c r="C91" s="212"/>
      <c r="D91" s="212"/>
      <c r="E91" s="212"/>
      <c r="F91" s="212"/>
      <c r="G91" s="212"/>
      <c r="H91" s="612"/>
      <c r="I91" s="613"/>
      <c r="J91" s="212"/>
      <c r="K91" s="215"/>
      <c r="L91" s="215"/>
      <c r="M91" s="349"/>
      <c r="N91" s="56"/>
      <c r="O91" s="25"/>
      <c r="P91" s="25"/>
      <c r="Q91" s="25"/>
      <c r="R91" s="25"/>
      <c r="S91" s="25"/>
      <c r="T91" s="25"/>
      <c r="U91" s="25"/>
      <c r="V91" s="56"/>
      <c r="W91" s="56"/>
    </row>
    <row r="92" spans="1:23" ht="15.75" customHeight="1" x14ac:dyDescent="0.25">
      <c r="A92" s="104"/>
      <c r="B92" s="305"/>
      <c r="C92" s="305"/>
      <c r="D92" s="305"/>
      <c r="E92" s="305"/>
      <c r="F92" s="305"/>
      <c r="G92" s="305"/>
      <c r="H92" s="613"/>
      <c r="I92" s="613"/>
      <c r="J92" s="305"/>
      <c r="K92" s="215"/>
      <c r="L92" s="215"/>
      <c r="M92" s="215"/>
      <c r="N92" s="25"/>
      <c r="O92" s="25"/>
      <c r="P92" s="25"/>
      <c r="Q92" s="25"/>
      <c r="R92" s="25"/>
      <c r="S92" s="25"/>
      <c r="T92" s="25"/>
      <c r="U92" s="25"/>
      <c r="V92" s="25"/>
      <c r="W92" s="25"/>
    </row>
    <row r="93" spans="1:23" ht="15.75" customHeight="1" x14ac:dyDescent="0.25">
      <c r="A93" s="220"/>
      <c r="B93" s="212"/>
      <c r="C93" s="212"/>
      <c r="D93" s="212"/>
      <c r="E93" s="212"/>
      <c r="F93" s="212"/>
      <c r="G93" s="212"/>
      <c r="H93" s="612"/>
      <c r="I93" s="612"/>
      <c r="J93" s="212"/>
      <c r="K93" s="215"/>
      <c r="L93" s="215"/>
      <c r="M93" s="215"/>
      <c r="N93" s="25"/>
      <c r="O93" s="25"/>
      <c r="P93" s="25"/>
      <c r="Q93" s="25"/>
      <c r="R93" s="25"/>
      <c r="S93" s="25"/>
      <c r="T93" s="25"/>
      <c r="U93" s="25"/>
      <c r="V93" s="25"/>
      <c r="W93" s="25"/>
    </row>
    <row r="94" spans="1:23" ht="15.75" customHeight="1" x14ac:dyDescent="0.25">
      <c r="A94" s="65"/>
      <c r="B94" s="25"/>
      <c r="C94" s="25"/>
      <c r="D94" s="25"/>
      <c r="E94" s="25"/>
      <c r="F94" s="25"/>
      <c r="G94" s="25"/>
      <c r="H94" s="56"/>
      <c r="I94" s="56"/>
      <c r="J94" s="25"/>
      <c r="K94" s="25"/>
      <c r="L94" s="56"/>
      <c r="M94" s="25"/>
      <c r="N94" s="25"/>
      <c r="O94" s="56"/>
      <c r="P94" s="56"/>
      <c r="Q94" s="56"/>
      <c r="R94" s="56"/>
      <c r="S94" s="56"/>
      <c r="T94" s="56"/>
      <c r="U94" s="56"/>
      <c r="V94" s="25"/>
      <c r="W94" s="25"/>
    </row>
    <row r="95" spans="1:23" ht="15.75" customHeight="1" x14ac:dyDescent="0.25">
      <c r="A95" s="61"/>
      <c r="B95" s="22"/>
      <c r="C95" s="22"/>
      <c r="D95" s="22"/>
      <c r="E95" s="22"/>
      <c r="F95" s="22"/>
      <c r="G95" s="22"/>
      <c r="H95" s="340"/>
      <c r="I95" s="340"/>
      <c r="J95" s="40"/>
      <c r="K95" s="25"/>
      <c r="L95" s="25"/>
      <c r="M95" s="25"/>
      <c r="N95" s="25"/>
      <c r="O95" s="25"/>
      <c r="P95" s="25"/>
      <c r="Q95" s="25"/>
      <c r="R95" s="25"/>
      <c r="S95" s="25"/>
      <c r="T95" s="25"/>
      <c r="U95" s="25"/>
      <c r="V95" s="25"/>
      <c r="W95" s="25"/>
    </row>
    <row r="96" spans="1:23" ht="15.75" customHeight="1" x14ac:dyDescent="0.25">
      <c r="A96" s="61"/>
      <c r="B96" s="40"/>
      <c r="C96" s="40"/>
      <c r="D96" s="40"/>
      <c r="E96" s="24"/>
      <c r="F96" s="24"/>
      <c r="G96" s="24"/>
      <c r="H96" s="44"/>
      <c r="I96" s="44"/>
      <c r="J96" s="24"/>
      <c r="K96" s="25"/>
      <c r="L96" s="25"/>
      <c r="M96" s="25"/>
      <c r="N96" s="25"/>
      <c r="O96" s="25"/>
      <c r="P96" s="25"/>
      <c r="Q96" s="25"/>
      <c r="R96" s="25"/>
      <c r="S96" s="25"/>
      <c r="T96" s="25"/>
      <c r="U96" s="25"/>
      <c r="V96" s="25"/>
      <c r="W96" s="25"/>
    </row>
    <row r="97" spans="1:23" ht="15.75" customHeight="1" x14ac:dyDescent="0.25">
      <c r="A97" s="25"/>
      <c r="B97" s="24"/>
      <c r="C97" s="24"/>
      <c r="D97" s="24"/>
      <c r="E97" s="24"/>
      <c r="F97" s="24"/>
      <c r="G97" s="24"/>
      <c r="H97" s="44"/>
      <c r="I97" s="44"/>
      <c r="J97" s="24"/>
      <c r="K97" s="25"/>
      <c r="L97" s="25"/>
      <c r="M97" s="25"/>
      <c r="N97" s="25"/>
      <c r="O97" s="25"/>
      <c r="P97" s="25"/>
      <c r="Q97" s="25"/>
      <c r="R97" s="25"/>
      <c r="S97" s="25"/>
      <c r="T97" s="25"/>
      <c r="U97" s="25"/>
      <c r="V97" s="25"/>
      <c r="W97" s="25"/>
    </row>
    <row r="98" spans="1:23" ht="15.75" customHeight="1" x14ac:dyDescent="0.25">
      <c r="A98" s="61"/>
      <c r="B98" s="32"/>
      <c r="C98" s="32"/>
      <c r="D98" s="32"/>
      <c r="E98" s="32"/>
      <c r="F98" s="32"/>
      <c r="G98" s="11"/>
      <c r="H98" s="247"/>
      <c r="I98" s="247"/>
      <c r="J98" s="32"/>
      <c r="K98" s="25"/>
      <c r="L98" s="25"/>
      <c r="M98" s="25"/>
      <c r="N98" s="25"/>
      <c r="O98" s="25"/>
      <c r="P98" s="25"/>
      <c r="Q98" s="25"/>
      <c r="R98" s="25"/>
      <c r="S98" s="25"/>
      <c r="T98" s="25"/>
      <c r="U98" s="25"/>
      <c r="V98" s="25"/>
      <c r="W98" s="25"/>
    </row>
    <row r="99" spans="1:23" ht="15.75" customHeight="1" x14ac:dyDescent="0.25">
      <c r="A99" s="61"/>
      <c r="B99" s="25"/>
      <c r="C99" s="24"/>
      <c r="D99" s="24"/>
      <c r="E99" s="24"/>
      <c r="F99" s="24"/>
      <c r="G99" s="24"/>
      <c r="H99" s="44"/>
      <c r="I99" s="44"/>
      <c r="J99" s="25"/>
      <c r="K99" s="25"/>
      <c r="L99" s="25"/>
      <c r="M99" s="25"/>
      <c r="N99" s="25"/>
      <c r="O99" s="25"/>
      <c r="P99" s="25"/>
      <c r="Q99" s="25"/>
      <c r="R99" s="25"/>
      <c r="S99" s="25"/>
      <c r="T99" s="25"/>
      <c r="U99" s="25"/>
      <c r="V99" s="25"/>
      <c r="W99" s="25"/>
    </row>
    <row r="100" spans="1:23" ht="15.75" customHeight="1" x14ac:dyDescent="0.25">
      <c r="A100" s="61"/>
      <c r="B100" s="24"/>
      <c r="C100" s="24"/>
      <c r="D100" s="24"/>
      <c r="E100" s="24"/>
      <c r="F100" s="24"/>
      <c r="G100" s="24"/>
      <c r="H100" s="44"/>
      <c r="I100" s="44"/>
      <c r="J100" s="24"/>
      <c r="K100" s="56"/>
      <c r="L100" s="25"/>
      <c r="M100" s="25"/>
      <c r="N100" s="25"/>
      <c r="O100" s="25"/>
      <c r="P100" s="25"/>
      <c r="Q100" s="25"/>
      <c r="R100" s="25"/>
      <c r="S100" s="25"/>
      <c r="T100" s="25"/>
      <c r="U100" s="25"/>
      <c r="V100" s="25"/>
      <c r="W100" s="25"/>
    </row>
    <row r="101" spans="1:23" ht="15.75" customHeight="1" x14ac:dyDescent="0.25">
      <c r="A101" s="61"/>
      <c r="B101" s="24"/>
      <c r="C101" s="24"/>
      <c r="D101" s="24"/>
      <c r="E101" s="24"/>
      <c r="F101" s="24"/>
      <c r="G101" s="24"/>
      <c r="H101" s="44"/>
      <c r="I101" s="44"/>
      <c r="J101" s="24"/>
      <c r="K101" s="25"/>
      <c r="L101" s="25"/>
      <c r="M101" s="25"/>
      <c r="N101" s="25"/>
      <c r="O101" s="25"/>
      <c r="P101" s="25"/>
      <c r="Q101" s="25"/>
      <c r="R101" s="25"/>
      <c r="S101" s="25"/>
      <c r="T101" s="25"/>
      <c r="U101" s="25"/>
      <c r="V101" s="25"/>
      <c r="W101" s="25"/>
    </row>
    <row r="102" spans="1:23" ht="15.75" customHeight="1" x14ac:dyDescent="0.25">
      <c r="A102" s="61"/>
      <c r="B102" s="24"/>
      <c r="C102" s="24"/>
      <c r="D102" s="24"/>
      <c r="E102" s="24"/>
      <c r="F102" s="24"/>
      <c r="G102" s="24"/>
      <c r="H102" s="24"/>
      <c r="I102" s="24"/>
      <c r="J102" s="24"/>
      <c r="K102" s="25"/>
      <c r="L102" s="25"/>
      <c r="M102" s="25"/>
      <c r="N102" s="25"/>
      <c r="O102" s="25"/>
      <c r="P102" s="25"/>
      <c r="Q102" s="25"/>
      <c r="R102" s="25"/>
      <c r="S102" s="25"/>
      <c r="T102" s="25"/>
      <c r="U102" s="25"/>
      <c r="V102" s="25"/>
      <c r="W102" s="25"/>
    </row>
    <row r="103" spans="1:23" ht="15.75" customHeight="1" x14ac:dyDescent="0.25">
      <c r="A103" s="61"/>
      <c r="B103" s="40"/>
      <c r="C103" s="40"/>
      <c r="D103" s="40"/>
      <c r="E103" s="40"/>
      <c r="F103" s="40"/>
      <c r="G103" s="40"/>
      <c r="H103" s="40"/>
      <c r="I103" s="40"/>
      <c r="J103" s="40"/>
      <c r="K103" s="25"/>
      <c r="L103" s="25"/>
      <c r="M103" s="25"/>
      <c r="N103" s="25"/>
      <c r="O103" s="25"/>
      <c r="P103" s="25"/>
      <c r="Q103" s="25"/>
      <c r="R103" s="25"/>
      <c r="S103" s="25"/>
      <c r="T103" s="25"/>
      <c r="U103" s="25"/>
      <c r="V103" s="25"/>
      <c r="W103" s="25"/>
    </row>
    <row r="104" spans="1:23" ht="15.75" customHeight="1" x14ac:dyDescent="0.25">
      <c r="A104" s="61"/>
      <c r="B104" s="40"/>
      <c r="C104" s="40"/>
      <c r="D104" s="40"/>
      <c r="E104" s="40"/>
      <c r="F104" s="40"/>
      <c r="G104" s="40"/>
      <c r="H104" s="40"/>
      <c r="I104" s="40"/>
      <c r="J104" s="40"/>
      <c r="K104" s="25"/>
      <c r="L104" s="25"/>
      <c r="M104" s="25"/>
      <c r="N104" s="25"/>
      <c r="O104" s="25"/>
      <c r="P104" s="25"/>
      <c r="Q104" s="25"/>
      <c r="R104" s="25"/>
      <c r="S104" s="25"/>
      <c r="T104" s="25"/>
      <c r="U104" s="25"/>
      <c r="V104" s="25"/>
      <c r="W104" s="25"/>
    </row>
    <row r="105" spans="1:23" ht="15.75" customHeight="1" x14ac:dyDescent="0.25">
      <c r="A105" s="61"/>
      <c r="B105" s="25"/>
      <c r="C105" s="25"/>
      <c r="D105" s="25"/>
      <c r="E105" s="25"/>
      <c r="F105" s="25"/>
      <c r="G105" s="25"/>
      <c r="H105" s="25"/>
      <c r="I105" s="25"/>
      <c r="J105" s="25"/>
      <c r="K105" s="25"/>
      <c r="L105" s="25"/>
      <c r="M105" s="25"/>
      <c r="N105" s="25"/>
      <c r="O105" s="25"/>
      <c r="P105" s="25"/>
      <c r="Q105" s="25"/>
      <c r="R105" s="25"/>
      <c r="S105" s="25"/>
      <c r="T105" s="25"/>
      <c r="U105" s="25"/>
      <c r="V105" s="25"/>
      <c r="W105" s="25"/>
    </row>
    <row r="106" spans="1:23" ht="15.75" customHeight="1" x14ac:dyDescent="0.25">
      <c r="A106" s="61"/>
      <c r="B106" s="25"/>
      <c r="C106" s="25"/>
      <c r="D106" s="25"/>
      <c r="E106" s="25"/>
      <c r="F106" s="25"/>
      <c r="G106" s="25"/>
      <c r="H106" s="25"/>
      <c r="I106" s="25"/>
      <c r="J106" s="25"/>
      <c r="K106" s="25"/>
      <c r="L106" s="25"/>
      <c r="M106" s="25"/>
      <c r="N106" s="25"/>
      <c r="O106" s="25"/>
      <c r="P106" s="25"/>
      <c r="Q106" s="25"/>
      <c r="R106" s="25"/>
      <c r="S106" s="25"/>
      <c r="T106" s="25"/>
      <c r="U106" s="25"/>
      <c r="V106" s="25"/>
      <c r="W106" s="25"/>
    </row>
    <row r="107" spans="1:23" ht="15.75" customHeight="1" x14ac:dyDescent="0.25">
      <c r="A107" s="609"/>
      <c r="B107" s="22"/>
      <c r="C107" s="22"/>
      <c r="D107" s="22"/>
      <c r="E107" s="22"/>
      <c r="F107" s="22"/>
      <c r="G107" s="22"/>
      <c r="H107" s="22"/>
      <c r="I107" s="22"/>
      <c r="J107" s="22"/>
      <c r="K107" s="25"/>
      <c r="L107" s="25"/>
      <c r="M107" s="25"/>
      <c r="N107" s="25"/>
      <c r="O107" s="25"/>
      <c r="P107" s="25"/>
      <c r="Q107" s="25"/>
      <c r="R107" s="25"/>
      <c r="S107" s="25"/>
      <c r="T107" s="25"/>
      <c r="U107" s="25"/>
      <c r="V107" s="25"/>
      <c r="W107" s="25"/>
    </row>
    <row r="108" spans="1:23" ht="15.75" customHeight="1" x14ac:dyDescent="0.25">
      <c r="A108" s="65"/>
      <c r="B108" s="31"/>
      <c r="C108" s="31"/>
      <c r="D108" s="31"/>
      <c r="E108" s="31"/>
      <c r="F108" s="9"/>
      <c r="G108" s="9"/>
      <c r="H108" s="31"/>
      <c r="I108" s="31"/>
      <c r="J108" s="31"/>
      <c r="K108" s="25"/>
      <c r="L108" s="25"/>
      <c r="M108" s="25"/>
      <c r="N108" s="25"/>
      <c r="O108" s="25"/>
      <c r="P108" s="25"/>
      <c r="Q108" s="25"/>
      <c r="R108" s="25"/>
      <c r="S108" s="25"/>
      <c r="T108" s="25"/>
      <c r="U108" s="25"/>
      <c r="V108" s="25"/>
      <c r="W108" s="25"/>
    </row>
    <row r="109" spans="1:23" ht="15.75" customHeight="1" x14ac:dyDescent="0.25">
      <c r="A109" s="61"/>
      <c r="B109" s="11"/>
      <c r="C109" s="11"/>
      <c r="D109" s="11"/>
      <c r="E109" s="11"/>
      <c r="F109" s="11"/>
      <c r="G109" s="11"/>
      <c r="H109" s="11"/>
      <c r="I109" s="11"/>
      <c r="J109" s="11"/>
      <c r="K109" s="25"/>
      <c r="L109" s="25"/>
      <c r="M109" s="25"/>
      <c r="N109" s="25"/>
      <c r="O109" s="25"/>
      <c r="P109" s="25"/>
      <c r="Q109" s="25"/>
      <c r="R109" s="25"/>
      <c r="S109" s="25"/>
      <c r="T109" s="25"/>
      <c r="U109" s="25"/>
      <c r="V109" s="25"/>
      <c r="W109" s="25"/>
    </row>
    <row r="110" spans="1:23" ht="15.75" customHeight="1" x14ac:dyDescent="0.25">
      <c r="A110" s="61"/>
      <c r="B110" s="40"/>
      <c r="C110" s="40"/>
      <c r="D110" s="40"/>
      <c r="E110" s="24"/>
      <c r="F110" s="24"/>
      <c r="G110" s="24"/>
      <c r="H110" s="24"/>
      <c r="I110" s="24"/>
      <c r="J110" s="24"/>
      <c r="K110" s="25"/>
      <c r="L110" s="25"/>
      <c r="M110" s="25"/>
      <c r="N110" s="25"/>
      <c r="O110" s="25"/>
      <c r="P110" s="25"/>
      <c r="Q110" s="25"/>
      <c r="R110" s="25"/>
      <c r="S110" s="25"/>
      <c r="T110" s="25"/>
      <c r="U110" s="25"/>
      <c r="V110" s="25"/>
      <c r="W110" s="25"/>
    </row>
    <row r="111" spans="1:23" ht="15.75" customHeight="1" x14ac:dyDescent="0.25">
      <c r="A111" s="25"/>
      <c r="B111" s="24"/>
      <c r="C111" s="24"/>
      <c r="D111" s="24"/>
      <c r="E111" s="24"/>
      <c r="F111" s="24"/>
      <c r="G111" s="24"/>
      <c r="H111" s="24"/>
      <c r="I111" s="24"/>
      <c r="J111" s="24"/>
      <c r="K111" s="25"/>
      <c r="L111" s="25"/>
      <c r="M111" s="25"/>
      <c r="N111" s="25"/>
      <c r="O111" s="25"/>
      <c r="P111" s="25"/>
      <c r="Q111" s="25"/>
      <c r="R111" s="25"/>
      <c r="S111" s="25"/>
      <c r="T111" s="25"/>
      <c r="U111" s="25"/>
      <c r="V111" s="25"/>
      <c r="W111" s="25"/>
    </row>
    <row r="112" spans="1:23" ht="15.75" customHeight="1" x14ac:dyDescent="0.25">
      <c r="A112" s="61"/>
      <c r="B112" s="25"/>
      <c r="C112" s="25"/>
      <c r="D112" s="25"/>
      <c r="E112" s="25"/>
      <c r="F112" s="25"/>
      <c r="G112" s="25"/>
      <c r="H112" s="25"/>
      <c r="I112" s="25"/>
      <c r="J112" s="25"/>
      <c r="K112" s="25"/>
      <c r="L112" s="25"/>
      <c r="M112" s="25"/>
      <c r="N112" s="25"/>
      <c r="O112" s="25"/>
      <c r="P112" s="25"/>
      <c r="Q112" s="25"/>
      <c r="R112" s="25"/>
      <c r="S112" s="25"/>
      <c r="T112" s="25"/>
      <c r="U112" s="25"/>
      <c r="V112" s="25"/>
      <c r="W112" s="25"/>
    </row>
    <row r="113" spans="1:23" ht="15.75" customHeight="1" x14ac:dyDescent="0.25">
      <c r="A113" s="164"/>
      <c r="B113" s="40"/>
      <c r="C113" s="40"/>
      <c r="D113" s="40"/>
      <c r="E113" s="40"/>
      <c r="F113" s="40"/>
      <c r="G113" s="40"/>
      <c r="H113" s="525"/>
      <c r="I113" s="525"/>
      <c r="J113" s="40"/>
      <c r="K113" s="25"/>
      <c r="L113" s="25"/>
      <c r="M113" s="25"/>
      <c r="N113" s="25"/>
      <c r="O113" s="25"/>
      <c r="P113" s="25"/>
      <c r="Q113" s="25"/>
      <c r="R113" s="25"/>
      <c r="S113" s="25"/>
      <c r="T113" s="25"/>
      <c r="U113" s="25"/>
      <c r="V113" s="25"/>
      <c r="W113" s="25"/>
    </row>
    <row r="114" spans="1:23" ht="15.75" customHeight="1" x14ac:dyDescent="0.25">
      <c r="A114" s="65"/>
      <c r="B114" s="25"/>
      <c r="C114" s="25"/>
      <c r="D114" s="25"/>
      <c r="E114" s="25"/>
      <c r="F114" s="25"/>
      <c r="G114" s="25"/>
      <c r="H114" s="56"/>
      <c r="I114" s="56"/>
      <c r="J114" s="25"/>
      <c r="K114" s="25"/>
      <c r="L114" s="25"/>
      <c r="M114" s="25"/>
      <c r="N114" s="25"/>
      <c r="O114" s="25"/>
      <c r="P114" s="25"/>
      <c r="Q114" s="25"/>
      <c r="R114" s="25"/>
      <c r="S114" s="25"/>
      <c r="T114" s="25"/>
      <c r="U114" s="25"/>
      <c r="V114" s="25"/>
      <c r="W114" s="25"/>
    </row>
    <row r="115" spans="1:23" ht="15.75" customHeight="1" x14ac:dyDescent="0.25">
      <c r="A115" s="61"/>
      <c r="B115" s="22"/>
      <c r="C115" s="22"/>
      <c r="D115" s="22"/>
      <c r="E115" s="22"/>
      <c r="F115" s="22"/>
      <c r="G115" s="22"/>
      <c r="H115" s="340"/>
      <c r="I115" s="340"/>
      <c r="J115" s="40"/>
      <c r="K115" s="25"/>
      <c r="L115" s="25"/>
      <c r="M115" s="25"/>
      <c r="N115" s="25"/>
      <c r="O115" s="25"/>
      <c r="P115" s="25"/>
      <c r="Q115" s="25"/>
      <c r="R115" s="25"/>
      <c r="S115" s="25"/>
      <c r="T115" s="25"/>
      <c r="U115" s="25"/>
      <c r="V115" s="25"/>
      <c r="W115" s="25"/>
    </row>
    <row r="116" spans="1:23" ht="15.75" customHeight="1" x14ac:dyDescent="0.25">
      <c r="A116" s="61"/>
      <c r="B116" s="40"/>
      <c r="C116" s="40"/>
      <c r="D116" s="40"/>
      <c r="E116" s="24"/>
      <c r="F116" s="24"/>
      <c r="G116" s="24"/>
      <c r="H116" s="44"/>
      <c r="I116" s="44"/>
      <c r="J116" s="24"/>
      <c r="K116" s="25"/>
      <c r="L116" s="25"/>
      <c r="M116" s="25"/>
      <c r="N116" s="25"/>
      <c r="O116" s="25"/>
      <c r="P116" s="25"/>
      <c r="Q116" s="25"/>
      <c r="R116" s="25"/>
      <c r="S116" s="25"/>
      <c r="T116" s="25"/>
      <c r="U116" s="25"/>
      <c r="V116" s="25"/>
      <c r="W116" s="25"/>
    </row>
    <row r="117" spans="1:23" ht="15.75" customHeight="1" x14ac:dyDescent="0.25">
      <c r="A117" s="25"/>
      <c r="B117" s="24"/>
      <c r="C117" s="24"/>
      <c r="D117" s="24"/>
      <c r="E117" s="24"/>
      <c r="F117" s="24"/>
      <c r="G117" s="24"/>
      <c r="H117" s="44"/>
      <c r="I117" s="44"/>
      <c r="J117" s="24"/>
      <c r="K117" s="25"/>
      <c r="L117" s="25"/>
      <c r="M117" s="25"/>
      <c r="N117" s="25"/>
      <c r="O117" s="25"/>
      <c r="P117" s="25"/>
      <c r="Q117" s="25"/>
      <c r="R117" s="25"/>
      <c r="S117" s="25"/>
      <c r="T117" s="25"/>
      <c r="U117" s="25"/>
      <c r="V117" s="25"/>
      <c r="W117" s="25"/>
    </row>
  </sheetData>
  <mergeCells count="3">
    <mergeCell ref="A64:L64"/>
    <mergeCell ref="A63:L63"/>
    <mergeCell ref="P5:U16"/>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
  <sheetViews>
    <sheetView workbookViewId="0"/>
  </sheetViews>
  <sheetFormatPr defaultColWidth="17.25" defaultRowHeight="15" customHeight="1" x14ac:dyDescent="0.2"/>
  <sheetData>
    <row r="1" spans="1:9" ht="15" customHeight="1" x14ac:dyDescent="0.2">
      <c r="B1" s="106">
        <v>2012</v>
      </c>
      <c r="C1" s="106">
        <v>2013</v>
      </c>
      <c r="D1" s="106">
        <v>2014</v>
      </c>
    </row>
    <row r="2" spans="1:9" ht="15" customHeight="1" x14ac:dyDescent="0.2">
      <c r="A2" s="106" t="s">
        <v>32</v>
      </c>
    </row>
    <row r="3" spans="1:9" ht="15" customHeight="1" x14ac:dyDescent="0.2">
      <c r="A3" s="106" t="s">
        <v>17</v>
      </c>
      <c r="B3" s="106">
        <v>162</v>
      </c>
      <c r="C3" s="106">
        <v>213</v>
      </c>
      <c r="D3" s="106">
        <v>271</v>
      </c>
      <c r="F3" s="626" t="s">
        <v>8</v>
      </c>
      <c r="G3" s="623"/>
      <c r="H3" s="623"/>
      <c r="I3" s="623"/>
    </row>
    <row r="4" spans="1:9" ht="15" customHeight="1" x14ac:dyDescent="0.2">
      <c r="A4" s="106" t="s">
        <v>13</v>
      </c>
      <c r="F4" s="623"/>
      <c r="G4" s="623"/>
      <c r="H4" s="623"/>
      <c r="I4" s="623"/>
    </row>
    <row r="5" spans="1:9" ht="15" customHeight="1" x14ac:dyDescent="0.2">
      <c r="A5" s="106" t="s">
        <v>16</v>
      </c>
      <c r="D5" s="106">
        <v>321.60000000000002</v>
      </c>
      <c r="F5" s="623"/>
      <c r="G5" s="623"/>
      <c r="H5" s="623"/>
      <c r="I5" s="623"/>
    </row>
    <row r="6" spans="1:9" ht="15" customHeight="1" x14ac:dyDescent="0.2">
      <c r="A6" s="106" t="s">
        <v>20</v>
      </c>
      <c r="F6" s="623"/>
      <c r="G6" s="623"/>
      <c r="H6" s="623"/>
      <c r="I6" s="623"/>
    </row>
    <row r="7" spans="1:9" ht="15" customHeight="1" x14ac:dyDescent="0.2">
      <c r="A7" s="106" t="s">
        <v>150</v>
      </c>
      <c r="C7" s="106">
        <v>63.5</v>
      </c>
      <c r="D7" s="106">
        <v>65.599999999999994</v>
      </c>
      <c r="F7" s="623"/>
      <c r="G7" s="623"/>
      <c r="H7" s="623"/>
      <c r="I7" s="623"/>
    </row>
    <row r="8" spans="1:9" ht="15" customHeight="1" x14ac:dyDescent="0.2">
      <c r="A8" s="106" t="s">
        <v>151</v>
      </c>
      <c r="F8" s="623"/>
      <c r="G8" s="623"/>
      <c r="H8" s="623"/>
      <c r="I8" s="623"/>
    </row>
    <row r="9" spans="1:9" ht="15" customHeight="1" x14ac:dyDescent="0.2">
      <c r="A9" s="106" t="s">
        <v>153</v>
      </c>
      <c r="F9" s="623"/>
      <c r="G9" s="623"/>
      <c r="H9" s="623"/>
      <c r="I9" s="623"/>
    </row>
    <row r="10" spans="1:9" ht="15" customHeight="1" x14ac:dyDescent="0.2">
      <c r="F10" s="623"/>
      <c r="G10" s="623"/>
      <c r="H10" s="623"/>
      <c r="I10" s="623"/>
    </row>
    <row r="11" spans="1:9" ht="15" customHeight="1" x14ac:dyDescent="0.2">
      <c r="F11" s="623"/>
      <c r="G11" s="623"/>
      <c r="H11" s="623"/>
      <c r="I11" s="623"/>
    </row>
    <row r="12" spans="1:9" ht="15" customHeight="1" x14ac:dyDescent="0.2">
      <c r="F12" s="623"/>
      <c r="G12" s="623"/>
      <c r="H12" s="623"/>
      <c r="I12" s="623"/>
    </row>
    <row r="13" spans="1:9" ht="15" customHeight="1" x14ac:dyDescent="0.2">
      <c r="F13" s="623"/>
      <c r="G13" s="623"/>
      <c r="H13" s="623"/>
      <c r="I13" s="623"/>
    </row>
    <row r="14" spans="1:9" ht="15" customHeight="1" x14ac:dyDescent="0.2">
      <c r="F14" s="623"/>
      <c r="G14" s="623"/>
      <c r="H14" s="623"/>
      <c r="I14" s="623"/>
    </row>
  </sheetData>
  <mergeCells count="1">
    <mergeCell ref="F3:I1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4</vt:i4>
      </vt:variant>
    </vt:vector>
  </HeadingPairs>
  <TitlesOfParts>
    <vt:vector size="36" baseType="lpstr">
      <vt:lpstr>Wireline (RV) </vt:lpstr>
      <vt:lpstr>Wireline (MS)</vt:lpstr>
      <vt:lpstr>Wireless (RV)</vt:lpstr>
      <vt:lpstr>Wireless (MS)</vt:lpstr>
      <vt:lpstr>ISPs (RV)</vt:lpstr>
      <vt:lpstr>ISPs (MS)</vt:lpstr>
      <vt:lpstr>CableSatIPTV (RV)</vt:lpstr>
      <vt:lpstr>CableSatIPTV (MS)</vt:lpstr>
      <vt:lpstr>IPTV</vt:lpstr>
      <vt:lpstr>Broadcast TV (RV)</vt:lpstr>
      <vt:lpstr>Broadcast TV (MS)</vt:lpstr>
      <vt:lpstr>Pay &amp; Specialty (RV)</vt:lpstr>
      <vt:lpstr>Pay &amp; Specialty (MS)</vt:lpstr>
      <vt:lpstr>Total TV Universe (RV)</vt:lpstr>
      <vt:lpstr>Total TV Universe (MS)</vt:lpstr>
      <vt:lpstr>Radio (RV)</vt:lpstr>
      <vt:lpstr>Radio (MS)</vt:lpstr>
      <vt:lpstr>CBC</vt:lpstr>
      <vt:lpstr>Newspaper (RV)</vt:lpstr>
      <vt:lpstr>Newspaper (MS)</vt:lpstr>
      <vt:lpstr>Magazines (RV)</vt:lpstr>
      <vt:lpstr>Magazines (MS)</vt:lpstr>
      <vt:lpstr>Search (MS)</vt:lpstr>
      <vt:lpstr>Internet Other</vt:lpstr>
      <vt:lpstr>Online News (MS)</vt:lpstr>
      <vt:lpstr>Top 20 w Telecoms</vt:lpstr>
      <vt:lpstr>Top 20 no Telecoms</vt:lpstr>
      <vt:lpstr>VI Broadcasting</vt:lpstr>
      <vt:lpstr>Top US Telecom + Mediacos</vt:lpstr>
      <vt:lpstr>MediaEconomy</vt:lpstr>
      <vt:lpstr>CR &amp; HHI</vt:lpstr>
      <vt:lpstr>Data CentresServices</vt:lpstr>
      <vt:lpstr>'Broadcast TV (RV)'!Z_53A03D0E_38D0_7449_9494_A87029C5A3DD_.wvu.Cols</vt:lpstr>
      <vt:lpstr>'Total TV Universe (RV)'!Z_53A03D0E_38D0_7449_9494_A87029C5A3DD_.wvu.Rows</vt:lpstr>
      <vt:lpstr>'Broadcast TV (RV)'!Z_C1CFBDE7_2FAB_EE4D_8BC2_4415671EDD7A_.wvu.Cols</vt:lpstr>
      <vt:lpstr>'Total TV Universe (RV)'!Z_C1CFBDE7_2FAB_EE4D_8BC2_4415671EDD7A_.wvu.Rows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Sarah Green</cp:lastModifiedBy>
  <dcterms:modified xsi:type="dcterms:W3CDTF">2015-11-04T22:25:59Z</dcterms:modified>
</cp:coreProperties>
</file>