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omments1.xml" ContentType="application/vnd.openxmlformats-officedocument.spreadsheetml.comments+xml"/>
  <Override PartName="/xl/styles.xml" ContentType="application/vnd.openxmlformats-officedocument.spreadsheetml.styles+xml"/>
  <Override PartName="/xl/comments2.xml" ContentType="application/vnd.openxmlformats-officedocument.spreadsheetml.comments+xml"/>
  <Override PartName="/xl/theme/theme1.xml" ContentType="application/vnd.openxmlformats-officedocument.theme+xml"/>
  <Override PartName="/xl/calcChain.xml" ContentType="application/vnd.openxmlformats-officedocument.spreadsheetml.calcChain+xml"/>
  <Override PartName="/xl/worksheets/sheet2.xml" ContentType="application/vnd.openxmlformats-officedocument.spreadsheetml.worksheet+xml"/>
  <Default Extension="rels" ContentType="application/vnd.openxmlformats-package.relationships+xml"/>
  <Default Extension="jpeg" ContentType="image/jpeg"/>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20" yWindow="-20" windowWidth="21600" windowHeight="13400" tabRatio="500"/>
  </bookViews>
  <sheets>
    <sheet name="Top 20 w Telecoms" sheetId="2" r:id="rId1"/>
    <sheet name="Top 20 no Telecoms" sheetId="1" r:id="rId2"/>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CR2" i="1"/>
  <c r="CW20"/>
  <c r="CR20"/>
  <c r="CQ2"/>
  <c r="CR3"/>
  <c r="CQ3"/>
  <c r="CR5"/>
  <c r="CQ5"/>
  <c r="CW6"/>
  <c r="CR6"/>
  <c r="CQ6"/>
  <c r="CQ34"/>
  <c r="M42"/>
  <c r="CH2"/>
  <c r="CM20"/>
  <c r="CH20"/>
  <c r="CG2"/>
  <c r="CH3"/>
  <c r="CG3"/>
  <c r="CM6"/>
  <c r="CH6"/>
  <c r="CG6"/>
  <c r="CH5"/>
  <c r="CG5"/>
  <c r="CG34"/>
  <c r="L42"/>
  <c r="BX2"/>
  <c r="BX20"/>
  <c r="BW2"/>
  <c r="BX3"/>
  <c r="BW3"/>
  <c r="BX5"/>
  <c r="BW5"/>
  <c r="CC6"/>
  <c r="BX6"/>
  <c r="BW6"/>
  <c r="BW34"/>
  <c r="J42"/>
  <c r="BN2"/>
  <c r="BS15"/>
  <c r="BN15"/>
  <c r="BM2"/>
  <c r="BN3"/>
  <c r="BM3"/>
  <c r="BN4"/>
  <c r="BM4"/>
  <c r="BS5"/>
  <c r="BN5"/>
  <c r="BM5"/>
  <c r="BM34"/>
  <c r="I42"/>
  <c r="BD2"/>
  <c r="BI17"/>
  <c r="BD17"/>
  <c r="BC2"/>
  <c r="BD3"/>
  <c r="BC3"/>
  <c r="BD4"/>
  <c r="BC4"/>
  <c r="BI5"/>
  <c r="BD5"/>
  <c r="BC5"/>
  <c r="BC34"/>
  <c r="H42"/>
  <c r="AT2"/>
  <c r="AX21"/>
  <c r="AT21"/>
  <c r="AS2"/>
  <c r="AT3"/>
  <c r="AS3"/>
  <c r="AX4"/>
  <c r="AT4"/>
  <c r="AS4"/>
  <c r="AT6"/>
  <c r="AS6"/>
  <c r="AS34"/>
  <c r="G42"/>
  <c r="AJ5"/>
  <c r="AM21"/>
  <c r="AJ21"/>
  <c r="AI5"/>
  <c r="AJ6"/>
  <c r="AI6"/>
  <c r="AJ7"/>
  <c r="AI7"/>
  <c r="AJ10"/>
  <c r="AI10"/>
  <c r="AI34"/>
  <c r="F42"/>
  <c r="AA2"/>
  <c r="AD21"/>
  <c r="AA21"/>
  <c r="Z2"/>
  <c r="AA6"/>
  <c r="Z6"/>
  <c r="AA4"/>
  <c r="Z4"/>
  <c r="AA5"/>
  <c r="Z5"/>
  <c r="Z34"/>
  <c r="E42"/>
  <c r="S2"/>
  <c r="V26"/>
  <c r="S26"/>
  <c r="R2"/>
  <c r="S3"/>
  <c r="R3"/>
  <c r="S5"/>
  <c r="R5"/>
  <c r="S6"/>
  <c r="R6"/>
  <c r="R34"/>
  <c r="D42"/>
  <c r="K2"/>
  <c r="N27"/>
  <c r="K27"/>
  <c r="J2"/>
  <c r="K3"/>
  <c r="J3"/>
  <c r="K4"/>
  <c r="J4"/>
  <c r="N5"/>
  <c r="K5"/>
  <c r="J5"/>
  <c r="J34"/>
  <c r="C42"/>
  <c r="C2"/>
  <c r="F25"/>
  <c r="C25"/>
  <c r="B2"/>
  <c r="C3"/>
  <c r="B3"/>
  <c r="C4"/>
  <c r="B4"/>
  <c r="F5"/>
  <c r="C5"/>
  <c r="B5"/>
  <c r="B34"/>
  <c r="B42"/>
  <c r="CR4"/>
  <c r="CQ4"/>
  <c r="CR7"/>
  <c r="CQ7"/>
  <c r="CR8"/>
  <c r="CQ8"/>
  <c r="CX9"/>
  <c r="CR9"/>
  <c r="CQ9"/>
  <c r="CR10"/>
  <c r="CQ10"/>
  <c r="CR11"/>
  <c r="CQ11"/>
  <c r="CR12"/>
  <c r="CQ12"/>
  <c r="CR13"/>
  <c r="CQ13"/>
  <c r="CR14"/>
  <c r="CQ14"/>
  <c r="CR15"/>
  <c r="CQ15"/>
  <c r="CR16"/>
  <c r="CQ16"/>
  <c r="CR17"/>
  <c r="CQ17"/>
  <c r="CR18"/>
  <c r="CQ18"/>
  <c r="CR19"/>
  <c r="CQ19"/>
  <c r="CQ36"/>
  <c r="M40"/>
  <c r="CH4"/>
  <c r="CG4"/>
  <c r="CH7"/>
  <c r="CG7"/>
  <c r="CH8"/>
  <c r="CG8"/>
  <c r="CH9"/>
  <c r="CG9"/>
  <c r="CH10"/>
  <c r="CG10"/>
  <c r="CH11"/>
  <c r="CG11"/>
  <c r="CH12"/>
  <c r="CG12"/>
  <c r="CH13"/>
  <c r="CG13"/>
  <c r="CH14"/>
  <c r="CG14"/>
  <c r="CH15"/>
  <c r="CG15"/>
  <c r="CH16"/>
  <c r="CG16"/>
  <c r="CH17"/>
  <c r="CG17"/>
  <c r="CH18"/>
  <c r="CG18"/>
  <c r="CH19"/>
  <c r="CG19"/>
  <c r="CG36"/>
  <c r="L40"/>
  <c r="BX4"/>
  <c r="BW4"/>
  <c r="BX7"/>
  <c r="BW7"/>
  <c r="BX8"/>
  <c r="BW8"/>
  <c r="BX9"/>
  <c r="BW9"/>
  <c r="BX10"/>
  <c r="BW10"/>
  <c r="BX11"/>
  <c r="BW11"/>
  <c r="BX12"/>
  <c r="BW12"/>
  <c r="BX13"/>
  <c r="BW13"/>
  <c r="BX14"/>
  <c r="BW14"/>
  <c r="BX15"/>
  <c r="BW15"/>
  <c r="BX16"/>
  <c r="BW16"/>
  <c r="BX17"/>
  <c r="BW17"/>
  <c r="BX18"/>
  <c r="BW18"/>
  <c r="BX19"/>
  <c r="BW19"/>
  <c r="BW36"/>
  <c r="J40"/>
  <c r="BN6"/>
  <c r="BM6"/>
  <c r="BN7"/>
  <c r="BM7"/>
  <c r="BN8"/>
  <c r="BM8"/>
  <c r="BT9"/>
  <c r="BN9"/>
  <c r="BM9"/>
  <c r="BN10"/>
  <c r="BM10"/>
  <c r="BN11"/>
  <c r="BM11"/>
  <c r="BN12"/>
  <c r="BM12"/>
  <c r="BN13"/>
  <c r="BM13"/>
  <c r="BN14"/>
  <c r="BM14"/>
  <c r="BM36"/>
  <c r="I40"/>
  <c r="BD6"/>
  <c r="BC6"/>
  <c r="BD7"/>
  <c r="BC7"/>
  <c r="BD8"/>
  <c r="BC8"/>
  <c r="BD9"/>
  <c r="BC9"/>
  <c r="BD10"/>
  <c r="BC10"/>
  <c r="BJ11"/>
  <c r="BD11"/>
  <c r="BC11"/>
  <c r="BD12"/>
  <c r="BC12"/>
  <c r="BD13"/>
  <c r="BC13"/>
  <c r="BD14"/>
  <c r="BC14"/>
  <c r="BD15"/>
  <c r="BC15"/>
  <c r="BD16"/>
  <c r="BC16"/>
  <c r="BC36"/>
  <c r="H40"/>
  <c r="AT5"/>
  <c r="AS5"/>
  <c r="AT7"/>
  <c r="AS7"/>
  <c r="AT8"/>
  <c r="AS8"/>
  <c r="AT9"/>
  <c r="AS9"/>
  <c r="AT10"/>
  <c r="AS10"/>
  <c r="AT11"/>
  <c r="AS11"/>
  <c r="AT12"/>
  <c r="AS12"/>
  <c r="AT13"/>
  <c r="AS13"/>
  <c r="AT14"/>
  <c r="AS14"/>
  <c r="AT15"/>
  <c r="AS15"/>
  <c r="AT16"/>
  <c r="AS16"/>
  <c r="AT17"/>
  <c r="AS17"/>
  <c r="AT18"/>
  <c r="AS18"/>
  <c r="AT19"/>
  <c r="AS19"/>
  <c r="AT20"/>
  <c r="AS20"/>
  <c r="AS36"/>
  <c r="G40"/>
  <c r="AJ2"/>
  <c r="AI2"/>
  <c r="AJ3"/>
  <c r="AI3"/>
  <c r="AM4"/>
  <c r="AJ4"/>
  <c r="AI4"/>
  <c r="AJ8"/>
  <c r="AI8"/>
  <c r="AJ9"/>
  <c r="AI9"/>
  <c r="AJ11"/>
  <c r="AI11"/>
  <c r="AJ12"/>
  <c r="AI12"/>
  <c r="AJ13"/>
  <c r="AI13"/>
  <c r="AJ14"/>
  <c r="AI14"/>
  <c r="AJ15"/>
  <c r="AI15"/>
  <c r="AJ16"/>
  <c r="AI16"/>
  <c r="AJ17"/>
  <c r="AI17"/>
  <c r="AJ18"/>
  <c r="AI18"/>
  <c r="AJ19"/>
  <c r="AI19"/>
  <c r="AJ20"/>
  <c r="AI20"/>
  <c r="AI36"/>
  <c r="F40"/>
  <c r="AA3"/>
  <c r="Z3"/>
  <c r="AA7"/>
  <c r="Z7"/>
  <c r="AA8"/>
  <c r="Z8"/>
  <c r="AA9"/>
  <c r="Z9"/>
  <c r="AA10"/>
  <c r="Z10"/>
  <c r="AA11"/>
  <c r="Z11"/>
  <c r="AA12"/>
  <c r="Z12"/>
  <c r="AA13"/>
  <c r="Z13"/>
  <c r="AA14"/>
  <c r="Z14"/>
  <c r="AA15"/>
  <c r="Z15"/>
  <c r="AA16"/>
  <c r="Z16"/>
  <c r="AA17"/>
  <c r="Z17"/>
  <c r="AA18"/>
  <c r="Z18"/>
  <c r="AA19"/>
  <c r="Z19"/>
  <c r="AA20"/>
  <c r="Z20"/>
  <c r="Z36"/>
  <c r="E40"/>
  <c r="S4"/>
  <c r="R4"/>
  <c r="S7"/>
  <c r="R7"/>
  <c r="S8"/>
  <c r="R8"/>
  <c r="S9"/>
  <c r="R9"/>
  <c r="S10"/>
  <c r="R10"/>
  <c r="S11"/>
  <c r="R11"/>
  <c r="S12"/>
  <c r="R12"/>
  <c r="S13"/>
  <c r="R13"/>
  <c r="S14"/>
  <c r="R14"/>
  <c r="S15"/>
  <c r="R15"/>
  <c r="S16"/>
  <c r="R16"/>
  <c r="S17"/>
  <c r="R17"/>
  <c r="S18"/>
  <c r="R18"/>
  <c r="S19"/>
  <c r="R19"/>
  <c r="S20"/>
  <c r="R20"/>
  <c r="S21"/>
  <c r="R21"/>
  <c r="S22"/>
  <c r="R22"/>
  <c r="S23"/>
  <c r="R23"/>
  <c r="S24"/>
  <c r="R24"/>
  <c r="S25"/>
  <c r="R25"/>
  <c r="R36"/>
  <c r="D40"/>
  <c r="K6"/>
  <c r="J6"/>
  <c r="K7"/>
  <c r="J7"/>
  <c r="K8"/>
  <c r="J8"/>
  <c r="K9"/>
  <c r="J9"/>
  <c r="K10"/>
  <c r="J10"/>
  <c r="K11"/>
  <c r="J11"/>
  <c r="K12"/>
  <c r="J12"/>
  <c r="K13"/>
  <c r="J13"/>
  <c r="K14"/>
  <c r="J14"/>
  <c r="K15"/>
  <c r="J15"/>
  <c r="K16"/>
  <c r="J16"/>
  <c r="K17"/>
  <c r="J17"/>
  <c r="K18"/>
  <c r="J18"/>
  <c r="K19"/>
  <c r="J19"/>
  <c r="K20"/>
  <c r="J20"/>
  <c r="K21"/>
  <c r="J21"/>
  <c r="K22"/>
  <c r="J22"/>
  <c r="K23"/>
  <c r="J23"/>
  <c r="K24"/>
  <c r="J24"/>
  <c r="K25"/>
  <c r="J25"/>
  <c r="K26"/>
  <c r="J26"/>
  <c r="J36"/>
  <c r="C40"/>
  <c r="C6"/>
  <c r="B6"/>
  <c r="C7"/>
  <c r="B7"/>
  <c r="C8"/>
  <c r="B8"/>
  <c r="C9"/>
  <c r="B9"/>
  <c r="C10"/>
  <c r="B10"/>
  <c r="C11"/>
  <c r="B11"/>
  <c r="C12"/>
  <c r="B12"/>
  <c r="C13"/>
  <c r="B13"/>
  <c r="C14"/>
  <c r="B14"/>
  <c r="C15"/>
  <c r="B15"/>
  <c r="C16"/>
  <c r="B16"/>
  <c r="C17"/>
  <c r="B17"/>
  <c r="C18"/>
  <c r="B18"/>
  <c r="C19"/>
  <c r="B19"/>
  <c r="C20"/>
  <c r="B20"/>
  <c r="C21"/>
  <c r="B21"/>
  <c r="C22"/>
  <c r="B22"/>
  <c r="C23"/>
  <c r="B23"/>
  <c r="C24"/>
  <c r="B24"/>
  <c r="B36"/>
  <c r="B40"/>
  <c r="CG37"/>
  <c r="CQ35"/>
  <c r="CG35"/>
  <c r="BW35"/>
  <c r="BM35"/>
  <c r="BC35"/>
  <c r="AS35"/>
  <c r="AI35"/>
  <c r="Z35"/>
  <c r="R35"/>
  <c r="J35"/>
  <c r="B35"/>
  <c r="CQ33"/>
  <c r="CG33"/>
  <c r="BW33"/>
  <c r="BM33"/>
  <c r="BC33"/>
  <c r="AS33"/>
  <c r="AI33"/>
  <c r="Z33"/>
  <c r="R33"/>
  <c r="J33"/>
  <c r="B33"/>
  <c r="CQ32"/>
  <c r="CG32"/>
  <c r="BW32"/>
  <c r="BM32"/>
  <c r="BC32"/>
  <c r="AS32"/>
  <c r="AI32"/>
  <c r="Z32"/>
  <c r="R32"/>
  <c r="J32"/>
  <c r="B32"/>
  <c r="DL2" i="2"/>
  <c r="DS19"/>
  <c r="DL19"/>
  <c r="DK2"/>
  <c r="DL3"/>
  <c r="DK3"/>
  <c r="DL4"/>
  <c r="DK4"/>
  <c r="DL5"/>
  <c r="DK5"/>
  <c r="DS6"/>
  <c r="DL6"/>
  <c r="DK6"/>
  <c r="DL7"/>
  <c r="DK7"/>
  <c r="DL8"/>
  <c r="DK8"/>
  <c r="DT9"/>
  <c r="DL9"/>
  <c r="DK9"/>
  <c r="DL10"/>
  <c r="DK10"/>
  <c r="DL11"/>
  <c r="DK11"/>
  <c r="DL12"/>
  <c r="DK12"/>
  <c r="DL13"/>
  <c r="DK13"/>
  <c r="DL14"/>
  <c r="DK14"/>
  <c r="DL15"/>
  <c r="DK15"/>
  <c r="DL16"/>
  <c r="DK16"/>
  <c r="DL17"/>
  <c r="DK17"/>
  <c r="DL18"/>
  <c r="DK18"/>
  <c r="DK43"/>
  <c r="CZ2"/>
  <c r="DG20"/>
  <c r="CZ20"/>
  <c r="CY2"/>
  <c r="CZ3"/>
  <c r="CY3"/>
  <c r="CZ4"/>
  <c r="CY4"/>
  <c r="CZ5"/>
  <c r="CY5"/>
  <c r="DG6"/>
  <c r="CZ6"/>
  <c r="CY6"/>
  <c r="CZ7"/>
  <c r="CY7"/>
  <c r="CZ8"/>
  <c r="CY8"/>
  <c r="CZ9"/>
  <c r="CY9"/>
  <c r="CZ10"/>
  <c r="CY10"/>
  <c r="CZ11"/>
  <c r="CY11"/>
  <c r="CZ12"/>
  <c r="CY12"/>
  <c r="CZ13"/>
  <c r="CY13"/>
  <c r="CZ14"/>
  <c r="CY14"/>
  <c r="CZ15"/>
  <c r="CY15"/>
  <c r="CZ16"/>
  <c r="CY16"/>
  <c r="CZ17"/>
  <c r="CY17"/>
  <c r="CZ18"/>
  <c r="CY18"/>
  <c r="CZ19"/>
  <c r="CY19"/>
  <c r="CY43"/>
  <c r="CN2"/>
  <c r="CU20"/>
  <c r="CN20"/>
  <c r="CM2"/>
  <c r="CN3"/>
  <c r="CM3"/>
  <c r="CN4"/>
  <c r="CM4"/>
  <c r="CN5"/>
  <c r="CM5"/>
  <c r="CU6"/>
  <c r="CN6"/>
  <c r="CM6"/>
  <c r="CN7"/>
  <c r="CM7"/>
  <c r="CN8"/>
  <c r="CM8"/>
  <c r="CN9"/>
  <c r="CM9"/>
  <c r="CN10"/>
  <c r="CM10"/>
  <c r="CN11"/>
  <c r="CM11"/>
  <c r="CN12"/>
  <c r="CM12"/>
  <c r="CN13"/>
  <c r="CM13"/>
  <c r="CN14"/>
  <c r="CM14"/>
  <c r="CN15"/>
  <c r="CM15"/>
  <c r="CN16"/>
  <c r="CM16"/>
  <c r="CN17"/>
  <c r="CM17"/>
  <c r="CN18"/>
  <c r="CM18"/>
  <c r="CN19"/>
  <c r="CM19"/>
  <c r="CM43"/>
  <c r="CB2"/>
  <c r="CI17"/>
  <c r="CB17"/>
  <c r="CA2"/>
  <c r="CB3"/>
  <c r="CA3"/>
  <c r="CB4"/>
  <c r="CA4"/>
  <c r="CB5"/>
  <c r="CA5"/>
  <c r="CI6"/>
  <c r="CB6"/>
  <c r="CA6"/>
  <c r="CB7"/>
  <c r="CA7"/>
  <c r="CB8"/>
  <c r="CA8"/>
  <c r="CB9"/>
  <c r="CA9"/>
  <c r="CB10"/>
  <c r="CA10"/>
  <c r="CB11"/>
  <c r="CA11"/>
  <c r="CB12"/>
  <c r="CA12"/>
  <c r="CB13"/>
  <c r="CA13"/>
  <c r="CB14"/>
  <c r="CA14"/>
  <c r="CB15"/>
  <c r="CA15"/>
  <c r="CB16"/>
  <c r="CA16"/>
  <c r="CA43"/>
  <c r="BP2"/>
  <c r="BW18"/>
  <c r="BP18"/>
  <c r="BO2"/>
  <c r="BP3"/>
  <c r="BO3"/>
  <c r="BP4"/>
  <c r="BO4"/>
  <c r="BP5"/>
  <c r="BO5"/>
  <c r="BW6"/>
  <c r="BP6"/>
  <c r="BO6"/>
  <c r="BP7"/>
  <c r="BO7"/>
  <c r="BP8"/>
  <c r="BO8"/>
  <c r="BP9"/>
  <c r="BO9"/>
  <c r="BP10"/>
  <c r="BO10"/>
  <c r="BP11"/>
  <c r="BO11"/>
  <c r="BP12"/>
  <c r="BO12"/>
  <c r="BP13"/>
  <c r="BO13"/>
  <c r="BP14"/>
  <c r="BO14"/>
  <c r="BP15"/>
  <c r="BO15"/>
  <c r="BP16"/>
  <c r="BO16"/>
  <c r="BP17"/>
  <c r="BO17"/>
  <c r="BO43"/>
  <c r="BD2"/>
  <c r="BJ31"/>
  <c r="BD31"/>
  <c r="BC2"/>
  <c r="BD3"/>
  <c r="BC3"/>
  <c r="BD4"/>
  <c r="BC4"/>
  <c r="BD5"/>
  <c r="BC5"/>
  <c r="BJ6"/>
  <c r="BD6"/>
  <c r="BC6"/>
  <c r="BD7"/>
  <c r="BC7"/>
  <c r="BD8"/>
  <c r="BC8"/>
  <c r="BD9"/>
  <c r="BC9"/>
  <c r="BD10"/>
  <c r="BC10"/>
  <c r="BD11"/>
  <c r="BC11"/>
  <c r="BD12"/>
  <c r="BC12"/>
  <c r="BD13"/>
  <c r="BC13"/>
  <c r="BD14"/>
  <c r="BC14"/>
  <c r="BD15"/>
  <c r="BC15"/>
  <c r="BD16"/>
  <c r="BC16"/>
  <c r="BD17"/>
  <c r="BC17"/>
  <c r="BD18"/>
  <c r="BC18"/>
  <c r="BD19"/>
  <c r="BC19"/>
  <c r="BD20"/>
  <c r="BC20"/>
  <c r="BD21"/>
  <c r="BC21"/>
  <c r="BD22"/>
  <c r="BC22"/>
  <c r="BD23"/>
  <c r="BC23"/>
  <c r="BD24"/>
  <c r="BC24"/>
  <c r="BD25"/>
  <c r="BC25"/>
  <c r="BD26"/>
  <c r="BC26"/>
  <c r="BD27"/>
  <c r="BC27"/>
  <c r="BD28"/>
  <c r="BC28"/>
  <c r="BD29"/>
  <c r="BC29"/>
  <c r="BD30"/>
  <c r="BC30"/>
  <c r="BC43"/>
  <c r="AR2"/>
  <c r="AX27"/>
  <c r="AR27"/>
  <c r="AQ2"/>
  <c r="AR3"/>
  <c r="AQ3"/>
  <c r="AR4"/>
  <c r="AQ4"/>
  <c r="AR5"/>
  <c r="AQ5"/>
  <c r="AR6"/>
  <c r="AQ6"/>
  <c r="AX7"/>
  <c r="AR7"/>
  <c r="AQ7"/>
  <c r="AR8"/>
  <c r="AQ8"/>
  <c r="AR9"/>
  <c r="AQ9"/>
  <c r="AR10"/>
  <c r="AQ10"/>
  <c r="AR11"/>
  <c r="AQ11"/>
  <c r="AR12"/>
  <c r="AQ12"/>
  <c r="AR13"/>
  <c r="AQ13"/>
  <c r="AR14"/>
  <c r="AQ14"/>
  <c r="AR15"/>
  <c r="AQ15"/>
  <c r="AR16"/>
  <c r="AQ16"/>
  <c r="AR17"/>
  <c r="AQ17"/>
  <c r="AR18"/>
  <c r="AQ18"/>
  <c r="AR19"/>
  <c r="AQ19"/>
  <c r="AR20"/>
  <c r="AQ20"/>
  <c r="AR21"/>
  <c r="AQ21"/>
  <c r="AR22"/>
  <c r="AQ22"/>
  <c r="AR23"/>
  <c r="AQ23"/>
  <c r="AR24"/>
  <c r="AQ24"/>
  <c r="AR25"/>
  <c r="AQ25"/>
  <c r="AR26"/>
  <c r="AQ26"/>
  <c r="AQ43"/>
  <c r="AG2"/>
  <c r="AM30"/>
  <c r="AG30"/>
  <c r="AF2"/>
  <c r="AG3"/>
  <c r="AF3"/>
  <c r="AG4"/>
  <c r="AF4"/>
  <c r="AG5"/>
  <c r="AF5"/>
  <c r="AG6"/>
  <c r="AF6"/>
  <c r="AG7"/>
  <c r="AF7"/>
  <c r="AG8"/>
  <c r="AF8"/>
  <c r="AG9"/>
  <c r="AF9"/>
  <c r="AG10"/>
  <c r="AF10"/>
  <c r="AG11"/>
  <c r="AF11"/>
  <c r="AG12"/>
  <c r="AF12"/>
  <c r="AG13"/>
  <c r="AF13"/>
  <c r="AG14"/>
  <c r="AF14"/>
  <c r="AG15"/>
  <c r="AF15"/>
  <c r="AG16"/>
  <c r="AF16"/>
  <c r="AG17"/>
  <c r="AF17"/>
  <c r="AG18"/>
  <c r="AF18"/>
  <c r="AG19"/>
  <c r="AF19"/>
  <c r="AG20"/>
  <c r="AF20"/>
  <c r="AG21"/>
  <c r="AF21"/>
  <c r="AG22"/>
  <c r="AF22"/>
  <c r="AG23"/>
  <c r="AF23"/>
  <c r="AG24"/>
  <c r="AF24"/>
  <c r="AG25"/>
  <c r="AF25"/>
  <c r="AG26"/>
  <c r="AF26"/>
  <c r="AG27"/>
  <c r="AF27"/>
  <c r="AG28"/>
  <c r="AF28"/>
  <c r="AG29"/>
  <c r="AF29"/>
  <c r="AF43"/>
  <c r="W2"/>
  <c r="AB34"/>
  <c r="W34"/>
  <c r="V2"/>
  <c r="W3"/>
  <c r="V3"/>
  <c r="W4"/>
  <c r="V4"/>
  <c r="W5"/>
  <c r="V5"/>
  <c r="W6"/>
  <c r="V6"/>
  <c r="AB7"/>
  <c r="W7"/>
  <c r="V7"/>
  <c r="W8"/>
  <c r="V8"/>
  <c r="W9"/>
  <c r="V9"/>
  <c r="W10"/>
  <c r="V10"/>
  <c r="W11"/>
  <c r="V11"/>
  <c r="W12"/>
  <c r="V12"/>
  <c r="AB13"/>
  <c r="W13"/>
  <c r="V13"/>
  <c r="W14"/>
  <c r="V14"/>
  <c r="W15"/>
  <c r="V15"/>
  <c r="W16"/>
  <c r="V16"/>
  <c r="W17"/>
  <c r="V17"/>
  <c r="W18"/>
  <c r="V18"/>
  <c r="W19"/>
  <c r="V19"/>
  <c r="W20"/>
  <c r="V20"/>
  <c r="AB21"/>
  <c r="W21"/>
  <c r="V21"/>
  <c r="W22"/>
  <c r="V22"/>
  <c r="W23"/>
  <c r="V23"/>
  <c r="W24"/>
  <c r="V24"/>
  <c r="W25"/>
  <c r="V25"/>
  <c r="W26"/>
  <c r="V26"/>
  <c r="W27"/>
  <c r="V27"/>
  <c r="W28"/>
  <c r="V28"/>
  <c r="W29"/>
  <c r="V29"/>
  <c r="W30"/>
  <c r="V30"/>
  <c r="W31"/>
  <c r="V31"/>
  <c r="W32"/>
  <c r="V32"/>
  <c r="W33"/>
  <c r="V33"/>
  <c r="V43"/>
  <c r="M2"/>
  <c r="R35"/>
  <c r="M35"/>
  <c r="L2"/>
  <c r="M3"/>
  <c r="L3"/>
  <c r="M4"/>
  <c r="L4"/>
  <c r="M5"/>
  <c r="L5"/>
  <c r="M6"/>
  <c r="L6"/>
  <c r="M7"/>
  <c r="L7"/>
  <c r="M8"/>
  <c r="L8"/>
  <c r="M9"/>
  <c r="L9"/>
  <c r="M10"/>
  <c r="L10"/>
  <c r="R11"/>
  <c r="M11"/>
  <c r="L11"/>
  <c r="M12"/>
  <c r="L12"/>
  <c r="M13"/>
  <c r="L13"/>
  <c r="M14"/>
  <c r="L14"/>
  <c r="M15"/>
  <c r="L15"/>
  <c r="M16"/>
  <c r="L16"/>
  <c r="M17"/>
  <c r="L17"/>
  <c r="M18"/>
  <c r="L18"/>
  <c r="M19"/>
  <c r="L19"/>
  <c r="M20"/>
  <c r="L20"/>
  <c r="M21"/>
  <c r="L21"/>
  <c r="M22"/>
  <c r="L22"/>
  <c r="M23"/>
  <c r="L23"/>
  <c r="M24"/>
  <c r="L24"/>
  <c r="M25"/>
  <c r="L25"/>
  <c r="M26"/>
  <c r="L26"/>
  <c r="M27"/>
  <c r="L27"/>
  <c r="M28"/>
  <c r="L28"/>
  <c r="M29"/>
  <c r="L29"/>
  <c r="M30"/>
  <c r="L30"/>
  <c r="M31"/>
  <c r="L31"/>
  <c r="M32"/>
  <c r="L32"/>
  <c r="M33"/>
  <c r="L33"/>
  <c r="M34"/>
  <c r="L34"/>
  <c r="L43"/>
  <c r="C2"/>
  <c r="H33"/>
  <c r="C33"/>
  <c r="B2"/>
  <c r="C3"/>
  <c r="B3"/>
  <c r="C4"/>
  <c r="B4"/>
  <c r="C5"/>
  <c r="B5"/>
  <c r="C6"/>
  <c r="B6"/>
  <c r="C7"/>
  <c r="B7"/>
  <c r="C8"/>
  <c r="B8"/>
  <c r="H9"/>
  <c r="C9"/>
  <c r="B9"/>
  <c r="C10"/>
  <c r="B10"/>
  <c r="C11"/>
  <c r="B11"/>
  <c r="C12"/>
  <c r="B12"/>
  <c r="C13"/>
  <c r="B13"/>
  <c r="C14"/>
  <c r="B14"/>
  <c r="C15"/>
  <c r="B15"/>
  <c r="C16"/>
  <c r="B16"/>
  <c r="C17"/>
  <c r="B17"/>
  <c r="C18"/>
  <c r="B18"/>
  <c r="C19"/>
  <c r="B19"/>
  <c r="C20"/>
  <c r="B20"/>
  <c r="C21"/>
  <c r="B21"/>
  <c r="C22"/>
  <c r="B22"/>
  <c r="C23"/>
  <c r="B23"/>
  <c r="C24"/>
  <c r="B24"/>
  <c r="C25"/>
  <c r="B25"/>
  <c r="C26"/>
  <c r="B26"/>
  <c r="C27"/>
  <c r="B27"/>
  <c r="C28"/>
  <c r="B28"/>
  <c r="C29"/>
  <c r="B29"/>
  <c r="C30"/>
  <c r="B30"/>
  <c r="C31"/>
  <c r="B31"/>
  <c r="C32"/>
  <c r="B32"/>
  <c r="B43"/>
  <c r="DK42"/>
  <c r="CY42"/>
  <c r="CM42"/>
  <c r="CA42"/>
  <c r="BO42"/>
  <c r="BC42"/>
  <c r="AQ42"/>
  <c r="AF42"/>
  <c r="V42"/>
  <c r="L42"/>
  <c r="B42"/>
  <c r="DK41"/>
  <c r="CY41"/>
  <c r="CM41"/>
  <c r="CA41"/>
  <c r="BO41"/>
  <c r="BC41"/>
  <c r="AQ41"/>
  <c r="AF41"/>
  <c r="V41"/>
  <c r="L41"/>
  <c r="B41"/>
  <c r="DK40"/>
  <c r="CY40"/>
  <c r="CM40"/>
  <c r="CA40"/>
  <c r="BO40"/>
  <c r="BC40"/>
  <c r="AQ40"/>
  <c r="AF40"/>
  <c r="V40"/>
  <c r="L40"/>
  <c r="B40"/>
  <c r="DK39"/>
  <c r="CY39"/>
  <c r="CM39"/>
  <c r="CA39"/>
  <c r="BO39"/>
  <c r="BC39"/>
  <c r="AQ39"/>
  <c r="AF39"/>
  <c r="V39"/>
  <c r="L39"/>
  <c r="B39"/>
</calcChain>
</file>

<file path=xl/comments1.xml><?xml version="1.0" encoding="utf-8"?>
<comments xmlns="http://schemas.openxmlformats.org/spreadsheetml/2006/main">
  <authors>
    <author>LR</author>
    <author>Dwayne Winseck</author>
    <author>Brian Wilkinson</author>
  </authors>
  <commentList>
    <comment ref="AT2" authorId="0">
      <text>
        <r>
          <rPr>
            <b/>
            <sz val="9"/>
            <color indexed="81"/>
            <rFont val="Calibri"/>
            <family val="2"/>
          </rPr>
          <t>LR:</t>
        </r>
        <r>
          <rPr>
            <sz val="9"/>
            <color indexed="81"/>
            <rFont val="Calibri"/>
            <family val="2"/>
          </rPr>
          <t xml:space="preserve">
BCE Annual Report, 2000 p.20</t>
        </r>
      </text>
    </comment>
    <comment ref="BE2" authorId="0">
      <text>
        <r>
          <rPr>
            <b/>
            <sz val="9"/>
            <color indexed="81"/>
            <rFont val="Calibri"/>
            <family val="2"/>
          </rPr>
          <t>LR:</t>
        </r>
        <r>
          <rPr>
            <sz val="9"/>
            <color indexed="81"/>
            <rFont val="Calibri"/>
            <family val="2"/>
          </rPr>
          <t xml:space="preserve">
BCE Annual Report, 2004, p.56</t>
        </r>
      </text>
    </comment>
    <comment ref="BF2" authorId="0">
      <text>
        <r>
          <rPr>
            <b/>
            <sz val="9"/>
            <color indexed="81"/>
            <rFont val="Calibri"/>
            <family val="2"/>
          </rPr>
          <t>LR:</t>
        </r>
        <r>
          <rPr>
            <sz val="9"/>
            <color indexed="81"/>
            <rFont val="Calibri"/>
            <family val="2"/>
          </rPr>
          <t xml:space="preserve">
BCE Annual Report 2004, p.56</t>
        </r>
      </text>
    </comment>
    <comment ref="CD2" authorId="0">
      <text>
        <r>
          <rPr>
            <b/>
            <sz val="9"/>
            <color indexed="81"/>
            <rFont val="Calibri"/>
            <family val="2"/>
          </rPr>
          <t>LR:</t>
        </r>
        <r>
          <rPr>
            <sz val="9"/>
            <color indexed="81"/>
            <rFont val="Calibri"/>
            <family val="2"/>
          </rPr>
          <t xml:space="preserve">
BCE Annual Report 2010, p44</t>
        </r>
      </text>
    </comment>
    <comment ref="AS3" authorId="0">
      <text>
        <r>
          <rPr>
            <b/>
            <sz val="9"/>
            <color indexed="81"/>
            <rFont val="Calibri"/>
            <family val="2"/>
          </rPr>
          <t>LR:</t>
        </r>
        <r>
          <rPr>
            <sz val="9"/>
            <color indexed="81"/>
            <rFont val="Calibri"/>
            <family val="2"/>
          </rPr>
          <t xml:space="preserve">
Telus Annual Report 2001, p.40</t>
        </r>
      </text>
    </comment>
    <comment ref="BE3" authorId="0">
      <text>
        <r>
          <rPr>
            <b/>
            <sz val="9"/>
            <color indexed="81"/>
            <rFont val="Calibri"/>
            <family val="2"/>
          </rPr>
          <t>LR:</t>
        </r>
        <r>
          <rPr>
            <sz val="9"/>
            <color indexed="81"/>
            <rFont val="Calibri"/>
            <family val="2"/>
          </rPr>
          <t xml:space="preserve">
Telus Annual Report, Financial Review, 2004, p.22</t>
        </r>
      </text>
    </comment>
    <comment ref="BF3" authorId="0">
      <text>
        <r>
          <rPr>
            <b/>
            <sz val="9"/>
            <color indexed="81"/>
            <rFont val="Calibri"/>
            <family val="2"/>
          </rPr>
          <t>LR:</t>
        </r>
        <r>
          <rPr>
            <sz val="9"/>
            <color indexed="81"/>
            <rFont val="Calibri"/>
            <family val="2"/>
          </rPr>
          <t xml:space="preserve">
Telus Annual Report, 2010 p.36</t>
        </r>
      </text>
    </comment>
    <comment ref="BG3" authorId="1">
      <text>
        <r>
          <rPr>
            <b/>
            <sz val="9"/>
            <color indexed="81"/>
            <rFont val="Calibri"/>
            <family val="2"/>
          </rPr>
          <t>Dwayne Winseck: Telus 2011 Annual Report, p. 36 for subscriber numbers multiplied by ARPU of $33.14 derived from Bell Aliant Annual Report 2004, p. 35.</t>
        </r>
        <r>
          <rPr>
            <sz val="9"/>
            <color indexed="81"/>
            <rFont val="Calibri"/>
            <family val="2"/>
          </rPr>
          <t xml:space="preserve">
</t>
        </r>
      </text>
    </comment>
    <comment ref="CD3" authorId="0">
      <text>
        <r>
          <rPr>
            <b/>
            <sz val="9"/>
            <color indexed="81"/>
            <rFont val="Calibri"/>
            <family val="2"/>
          </rPr>
          <t>LR:</t>
        </r>
        <r>
          <rPr>
            <sz val="9"/>
            <color indexed="81"/>
            <rFont val="Calibri"/>
            <family val="2"/>
          </rPr>
          <t xml:space="preserve">
Rogers Annual Report, 2010, p.19
6968</t>
        </r>
      </text>
    </comment>
    <comment ref="BF4" authorId="0">
      <text>
        <r>
          <rPr>
            <b/>
            <sz val="9"/>
            <color indexed="81"/>
            <rFont val="Calibri"/>
            <family val="2"/>
          </rPr>
          <t>LR:</t>
        </r>
        <r>
          <rPr>
            <sz val="9"/>
            <color indexed="81"/>
            <rFont val="Calibri"/>
            <family val="2"/>
          </rPr>
          <t xml:space="preserve">
Rogers Annual Report, p.26
2783.5</t>
        </r>
      </text>
    </comment>
    <comment ref="CC4" authorId="0">
      <text>
        <r>
          <rPr>
            <b/>
            <sz val="9"/>
            <color indexed="81"/>
            <rFont val="Calibri"/>
            <family val="2"/>
          </rPr>
          <t>LR:</t>
        </r>
        <r>
          <rPr>
            <sz val="9"/>
            <color indexed="81"/>
            <rFont val="Calibri"/>
            <family val="2"/>
          </rPr>
          <t xml:space="preserve">
Telus Annual Report 2010, p. 62</t>
        </r>
      </text>
    </comment>
    <comment ref="CD4" authorId="0">
      <text>
        <r>
          <rPr>
            <b/>
            <sz val="9"/>
            <color indexed="81"/>
            <rFont val="Calibri"/>
            <family val="2"/>
          </rPr>
          <t>LR</t>
        </r>
        <r>
          <rPr>
            <b/>
            <sz val="9"/>
            <color indexed="81"/>
            <rFont val="宋体"/>
            <family val="2"/>
          </rPr>
          <t>：
Telus Annual Report 2010, p.36</t>
        </r>
      </text>
    </comment>
    <comment ref="CF4" authorId="1">
      <text>
        <r>
          <rPr>
            <sz val="9"/>
            <color indexed="81"/>
            <rFont val="Verdana"/>
          </rPr>
          <t xml:space="preserve">Estimate based on reported subscriber figures for Telus of 314,000 (Telus AR 2013, p. 40) and ARPU of $47.71 arrived at using average of known ARPUs for Bell and MTS.. The number of subscribers is the average between the figure at the end of the year previous year and the current year, i.e. oit assumes steady linear growth.
</t>
        </r>
      </text>
    </comment>
    <comment ref="CR4" authorId="1">
      <text>
        <r>
          <rPr>
            <sz val="9"/>
            <color indexed="81"/>
            <rFont val="Verdana"/>
          </rPr>
          <t>Estimate based on reported subscriber figures for Telus of 509,000 (Telus AR 2013, p. 40) and ARPU of $54.82 arrived at using average of known ARPUs for Bell and MTS. The number of subscribers is the average between the figure at the end of the year previous year and the current year, i.e. oit assumes steady linear growth.</t>
        </r>
      </text>
    </comment>
    <comment ref="DD4" authorId="1">
      <text>
        <r>
          <rPr>
            <sz val="9"/>
            <color indexed="81"/>
            <rFont val="Verdana"/>
          </rPr>
          <t xml:space="preserve">Estimate based on reported subscriber figures for Telus of 678,000 (Telus AR 2013, p. 40) and ARPU of $61.31 arrived at using of known ARPUs for Bell Aliant, Bell and MTS. The number of subscribers is the average between the figure at the end of the year previous year and the current year, i.e. oit assumes steady linear growth.
</t>
        </r>
      </text>
    </comment>
    <comment ref="DP4" authorId="1">
      <text>
        <r>
          <rPr>
            <sz val="9"/>
            <color indexed="81"/>
            <rFont val="Verdana"/>
          </rPr>
          <t xml:space="preserve">Estimate based on reported subscriber figures for Telus of 815,000 (Telus AR 2013, p. 40) and ARPU of $57.38 arrived at by dividing IPTV revenue reported in CRTC Telus Aggregate Annual Return Report 2013, (IPTV revenue/IPTV subs)/12. The number of subscribers is the average between the figure at the end of the year previous year and the current year, i.e. oit assumes steady linear growth. 
</t>
        </r>
      </text>
    </comment>
    <comment ref="AH5" authorId="0">
      <text>
        <r>
          <rPr>
            <b/>
            <sz val="9"/>
            <color indexed="81"/>
            <rFont val="Calibri"/>
            <family val="2"/>
          </rPr>
          <t>LR:</t>
        </r>
        <r>
          <rPr>
            <sz val="9"/>
            <color indexed="81"/>
            <rFont val="Calibri"/>
            <family val="2"/>
          </rPr>
          <t xml:space="preserve">
Telus Annual Report 2001, p.40</t>
        </r>
      </text>
    </comment>
    <comment ref="BW6" authorId="1">
      <text>
        <r>
          <rPr>
            <b/>
            <sz val="9"/>
            <color indexed="81"/>
            <rFont val="Calibri"/>
            <family val="2"/>
          </rPr>
          <t>Dwayne Winseck:</t>
        </r>
        <r>
          <rPr>
            <sz val="9"/>
            <color indexed="81"/>
            <rFont val="Calibri"/>
            <family val="2"/>
          </rPr>
          <t xml:space="preserve">
Quebecor Annual Report 2008, p. 75.</t>
        </r>
      </text>
    </comment>
    <comment ref="AH8" authorId="1">
      <text>
        <r>
          <rPr>
            <b/>
            <sz val="9"/>
            <color indexed="81"/>
            <rFont val="Calibri"/>
            <family val="2"/>
          </rPr>
          <t>Dwayne Winseck:</t>
        </r>
        <r>
          <rPr>
            <sz val="9"/>
            <color indexed="81"/>
            <rFont val="Calibri"/>
            <family val="2"/>
          </rPr>
          <t xml:space="preserve">
SaskTel Annual Report 2000, p. 17. Local and Long Distance Only.</t>
        </r>
      </text>
    </comment>
    <comment ref="CC9" authorId="1">
      <text>
        <r>
          <rPr>
            <b/>
            <sz val="9"/>
            <color indexed="81"/>
            <rFont val="Calibri"/>
            <family val="2"/>
          </rPr>
          <t>Dwayne Winseck:</t>
        </r>
        <r>
          <rPr>
            <sz val="9"/>
            <color indexed="81"/>
            <rFont val="Calibri"/>
            <family val="2"/>
          </rPr>
          <t xml:space="preserve">
MTS Allstream Annual Report 2010, p. 2. Includes all revenues except wireless, IPTV and Internet Access.</t>
        </r>
      </text>
    </comment>
    <comment ref="CD9" authorId="0">
      <text>
        <r>
          <rPr>
            <b/>
            <sz val="9"/>
            <color indexed="81"/>
            <rFont val="Calibri"/>
            <family val="2"/>
          </rPr>
          <t>LR:</t>
        </r>
        <r>
          <rPr>
            <sz val="9"/>
            <color indexed="81"/>
            <rFont val="Calibri"/>
            <family val="2"/>
          </rPr>
          <t xml:space="preserve">
MTS Annual Report, 2011; p.15</t>
        </r>
      </text>
    </comment>
    <comment ref="CV9" authorId="1">
      <text>
        <r>
          <rPr>
            <b/>
            <sz val="9"/>
            <color indexed="81"/>
            <rFont val="Verdana"/>
          </rPr>
          <t>Dwayne Winseck:</t>
        </r>
        <r>
          <rPr>
            <sz val="9"/>
            <color indexed="81"/>
            <rFont val="Verdana"/>
          </rPr>
          <t xml:space="preserve">
or $1,597.1 million based on CDN population that is 9.1% of that the US, i.e. CDN $ = Google US  revenues of $17.6 billion (Google, AR 2013, p. 82) * 9.1%.</t>
        </r>
      </text>
    </comment>
    <comment ref="DH9" authorId="1">
      <text>
        <r>
          <rPr>
            <sz val="9"/>
            <color indexed="81"/>
            <rFont val="Verdana"/>
          </rPr>
          <t>Estimate based on view that Google accounts for about 50% of online advertising revenue. Or $1,762 million based on CDN population that is 9.1% of that the US, i.e. CDN $ = Google US revenues of $21.6 billion (Google, AR 2013, p. 82) * 9.1%.</t>
        </r>
      </text>
    </comment>
    <comment ref="DT9" authorId="1">
      <text>
        <r>
          <rPr>
            <sz val="9"/>
            <color indexed="81"/>
            <rFont val="Verdana"/>
          </rPr>
          <t>Estimate based on view that Google accounts for about 50% of online advertising revenue. Or $2,264 million based on CDN population that is 9.1% of that the US, i.e. CDN $ = Google US revenues of $24.9 billion (Google, AR 2013, p. 82) * 9.1%.</t>
        </r>
      </text>
    </comment>
    <comment ref="CI10" authorId="1">
      <text>
        <r>
          <rPr>
            <b/>
            <sz val="9"/>
            <color indexed="81"/>
            <rFont val="Calibri"/>
            <family val="2"/>
          </rPr>
          <t>Dwayne Winseck:</t>
        </r>
        <r>
          <rPr>
            <sz val="9"/>
            <color indexed="81"/>
            <rFont val="Calibri"/>
            <family val="2"/>
          </rPr>
          <t xml:space="preserve">
Postmedia Annual Report 2011, p. 10. </t>
        </r>
      </text>
    </comment>
    <comment ref="CS10" authorId="1">
      <text>
        <r>
          <rPr>
            <sz val="9"/>
            <color indexed="81"/>
            <rFont val="Verdana"/>
          </rPr>
          <t xml:space="preserve">CRTC Individual Pay and Specialty Financial Summaries. </t>
        </r>
      </text>
    </comment>
    <comment ref="DE10" authorId="1">
      <text>
        <r>
          <rPr>
            <sz val="9"/>
            <color indexed="81"/>
            <rFont val="Verdana"/>
          </rPr>
          <t xml:space="preserve">CRTC Individual Pay and Specialty Financial Summaries. </t>
        </r>
      </text>
    </comment>
    <comment ref="BE13" authorId="1">
      <text>
        <r>
          <rPr>
            <b/>
            <sz val="9"/>
            <color indexed="81"/>
            <rFont val="Calibri"/>
            <family val="2"/>
          </rPr>
          <t>Dwayne Winseck:</t>
        </r>
        <r>
          <rPr>
            <sz val="9"/>
            <color indexed="81"/>
            <rFont val="Calibri"/>
            <family val="2"/>
          </rPr>
          <t xml:space="preserve">
SaskTel, Annual Report 2004, p. 22. Local and long distance revenues only.</t>
        </r>
      </text>
    </comment>
    <comment ref="CC13" authorId="1">
      <text>
        <r>
          <rPr>
            <b/>
            <sz val="9"/>
            <color indexed="81"/>
            <rFont val="Calibri"/>
            <family val="2"/>
          </rPr>
          <t>Dwayne Winseck:</t>
        </r>
        <r>
          <rPr>
            <sz val="9"/>
            <color indexed="81"/>
            <rFont val="Calibri"/>
            <family val="2"/>
          </rPr>
          <t xml:space="preserve">
SaskTel Annual Report 2010, p. 30.</t>
        </r>
      </text>
    </comment>
    <comment ref="CD13" authorId="0">
      <text>
        <r>
          <rPr>
            <b/>
            <sz val="9"/>
            <color indexed="81"/>
            <rFont val="Calibri"/>
            <family val="2"/>
          </rPr>
          <t xml:space="preserve">LR:
SaskTel Annual Report 2010, p.30
</t>
        </r>
      </text>
    </comment>
    <comment ref="BU14" authorId="0">
      <text>
        <r>
          <rPr>
            <b/>
            <sz val="9"/>
            <color indexed="81"/>
            <rFont val="Calibri"/>
            <family val="2"/>
          </rPr>
          <t>LR:</t>
        </r>
        <r>
          <rPr>
            <sz val="9"/>
            <color indexed="81"/>
            <rFont val="Calibri"/>
            <family val="2"/>
          </rPr>
          <t xml:space="preserve">
Astral Annual Report, 2009, p.18</t>
        </r>
      </text>
    </comment>
    <comment ref="AS16" authorId="1">
      <text>
        <r>
          <rPr>
            <b/>
            <sz val="9"/>
            <color indexed="81"/>
            <rFont val="Calibri"/>
            <family val="2"/>
          </rPr>
          <t>Dwayne Winseck:</t>
        </r>
        <r>
          <rPr>
            <sz val="9"/>
            <color indexed="81"/>
            <rFont val="Calibri"/>
            <family val="2"/>
          </rPr>
          <t xml:space="preserve">
SaskTel Annual Report 2000, p. 17. Local and Long Distance Only.</t>
        </r>
      </text>
    </comment>
    <comment ref="DT17" authorId="2">
      <text>
        <r>
          <rPr>
            <sz val="9"/>
            <color indexed="81"/>
            <rFont val="Calibri"/>
            <family val="2"/>
          </rPr>
          <t xml:space="preserve">Based on 19 million Facebook users as of mid 2013 multiplied by ARPU of $18.70/year. User estimates from Facebook press release, e.g. see http://www.huffingtonpost.ca/2013/08/13/facebook-use-canada_n_3751378.html   and ARPU numbers from Facebook's Annual Report 2013, p. 41.  </t>
        </r>
      </text>
    </comment>
    <comment ref="DH18" authorId="2">
      <text>
        <r>
          <rPr>
            <b/>
            <sz val="9"/>
            <color indexed="81"/>
            <rFont val="Calibri"/>
            <family val="2"/>
          </rPr>
          <t>Based on 18,090,640 Facebook users as of September 2012 multiplied by ARPU of $12.70/year. User numbers from  http://www.internetworldstats.com/america.htm and ARPU numbers from Facebook's Annual Report 2012, p. 37.</t>
        </r>
      </text>
    </comment>
    <comment ref="DT18" authorId="1">
      <text>
        <r>
          <rPr>
            <sz val="9"/>
            <color indexed="81"/>
            <rFont val="Calibri"/>
            <family val="2"/>
          </rPr>
          <t xml:space="preserve">Based on an estimate of 2.25 million household subscribers in Canada. This is average of 1.6 million at end of 2012 and an estimate of 2.9 million users at end of 2013. The latter figure is a percentage of US Neflix subscriber numbers (32,712,000) at year end 2013 (Netflix Annual Report at p. 22) based on population, i.e. Canada's population is 9.1% of that of the US. Subscriber estimate multiplied by montly subscription rate of $8. </t>
        </r>
      </text>
    </comment>
    <comment ref="DH19" authorId="1">
      <text>
        <r>
          <rPr>
            <b/>
            <sz val="9"/>
            <color indexed="81"/>
            <rFont val="Calibri"/>
            <family val="2"/>
          </rPr>
          <t>Dwayne Winseck:</t>
        </r>
        <r>
          <rPr>
            <sz val="9"/>
            <color indexed="81"/>
            <rFont val="Calibri"/>
            <family val="2"/>
          </rPr>
          <t xml:space="preserve">
Based on an estimate of 1.6 million subscribers at the end of 2012 versus 1.2 million at the end of 2011 and montly subscription rate of $8 (IHS Screen Digest, 2013).  </t>
        </r>
      </text>
    </comment>
    <comment ref="DM19" authorId="1">
      <text>
        <r>
          <rPr>
            <sz val="9"/>
            <color indexed="81"/>
            <rFont val="Verdana"/>
          </rPr>
          <t xml:space="preserve">Estimate applies year-over-year decline in revenue between 2011 and 2012 of 3%.
</t>
        </r>
      </text>
    </comment>
    <comment ref="DN19" authorId="2">
      <text>
        <r>
          <rPr>
            <sz val="9"/>
            <color indexed="81"/>
            <rFont val="Verdana"/>
          </rPr>
          <t>CRTC 2014 CMR, p. 134.</t>
        </r>
      </text>
    </comment>
    <comment ref="DO19" authorId="2">
      <text>
        <r>
          <rPr>
            <sz val="9"/>
            <color indexed="81"/>
            <rFont val="Verdana"/>
          </rPr>
          <t xml:space="preserve">CRTC's CMR 2014 Press Release. </t>
        </r>
      </text>
    </comment>
    <comment ref="DP19" authorId="1">
      <text>
        <r>
          <rPr>
            <sz val="9"/>
            <color indexed="81"/>
            <rFont val="Verdana"/>
          </rPr>
          <t>CRTC 2014 CMR p. 120.</t>
        </r>
      </text>
    </comment>
    <comment ref="DT19" authorId="1">
      <text>
        <r>
          <rPr>
            <sz val="9"/>
            <color indexed="81"/>
            <rFont val="Verdana"/>
          </rPr>
          <t xml:space="preserve">IAB, 2013 Actual + 2014 Estimated Canadian Internet Advertising Revenue Survey, p. 9.
</t>
        </r>
      </text>
    </comment>
    <comment ref="DD20" authorId="1">
      <text>
        <r>
          <rPr>
            <b/>
            <sz val="9"/>
            <color indexed="81"/>
            <rFont val="Calibri"/>
            <family val="2"/>
          </rPr>
          <t>Dwayne Winseck:</t>
        </r>
        <r>
          <rPr>
            <sz val="9"/>
            <color indexed="81"/>
            <rFont val="Calibri"/>
            <family val="2"/>
          </rPr>
          <t xml:space="preserve">
</t>
        </r>
        <r>
          <rPr>
            <sz val="9"/>
            <color indexed="81"/>
            <rFont val="Cambria"/>
          </rPr>
          <t>CRTC 2014 CMR p. 120.</t>
        </r>
      </text>
    </comment>
    <comment ref="DH20" authorId="0">
      <text>
        <r>
          <rPr>
            <b/>
            <sz val="9"/>
            <color indexed="81"/>
            <rFont val="Calibri"/>
            <family val="2"/>
          </rPr>
          <t>LR:</t>
        </r>
        <r>
          <rPr>
            <sz val="9"/>
            <color indexed="81"/>
            <rFont val="Calibri"/>
            <family val="2"/>
          </rPr>
          <t xml:space="preserve">
Sum of Internet Advertising and Netflix Subscription revenue. IAB2012 Actual + 2013 Estimated Canadian Internet Advertising Revenue Survey. http://iabcanada.com/files/Canadian_Internet_Advertising_Revenue_Survey_2012-13English.pdf p. 6.</t>
        </r>
      </text>
    </comment>
    <comment ref="BE31" authorId="0">
      <text>
        <r>
          <rPr>
            <b/>
            <sz val="9"/>
            <color indexed="81"/>
            <rFont val="Calibri"/>
            <family val="2"/>
          </rPr>
          <t>LR:</t>
        </r>
        <r>
          <rPr>
            <sz val="9"/>
            <color indexed="81"/>
            <rFont val="Calibri"/>
            <family val="2"/>
          </rPr>
          <t xml:space="preserve">
CRTC Communications Monitoring Report, 2008, p. 183</t>
        </r>
      </text>
    </comment>
  </commentList>
</comments>
</file>

<file path=xl/comments2.xml><?xml version="1.0" encoding="utf-8"?>
<comments xmlns="http://schemas.openxmlformats.org/spreadsheetml/2006/main">
  <authors>
    <author>LR</author>
    <author>Dwayne Winseck</author>
    <author>Brian Wilkinson</author>
  </authors>
  <commentList>
    <comment ref="AK2" authorId="0">
      <text>
        <r>
          <rPr>
            <b/>
            <sz val="9"/>
            <color indexed="81"/>
            <rFont val="Arial"/>
            <family val="2"/>
          </rPr>
          <t>LR:</t>
        </r>
        <r>
          <rPr>
            <sz val="9"/>
            <color indexed="81"/>
            <rFont val="Arial"/>
            <family val="2"/>
          </rPr>
          <t xml:space="preserve">
736.6 Baton
</t>
        </r>
      </text>
    </comment>
    <comment ref="BF4" authorId="0">
      <text>
        <r>
          <rPr>
            <b/>
            <sz val="9"/>
            <color indexed="81"/>
            <rFont val="Calibri"/>
            <family val="2"/>
          </rPr>
          <t>LR:</t>
        </r>
        <r>
          <rPr>
            <sz val="9"/>
            <color indexed="81"/>
            <rFont val="Calibri"/>
            <family val="2"/>
          </rPr>
          <t xml:space="preserve">
BCE Annual Report, 2010, p.46</t>
        </r>
      </text>
    </comment>
    <comment ref="CD9" authorId="1">
      <text>
        <r>
          <rPr>
            <sz val="9"/>
            <color indexed="81"/>
            <rFont val="Verdana"/>
          </rPr>
          <t>or $1,597.1 million based on CDN population that is 9.1% of that the US, i.e. CDN $ = Google US  revenues of $17.6 billion (Google, AR 2013, p. 82) * 9.1%.</t>
        </r>
      </text>
    </comment>
    <comment ref="CN9" authorId="1">
      <text>
        <r>
          <rPr>
            <sz val="9"/>
            <color indexed="81"/>
            <rFont val="Verdana"/>
          </rPr>
          <t>or $1,762 million based on CDN population that is 9.1% of that the US, i.e. CDN $ = Google US revenues of $21.6 billion (Google, AR 2013, p. 82) * 9.1%.</t>
        </r>
      </text>
    </comment>
    <comment ref="CX9" authorId="1">
      <text>
        <r>
          <rPr>
            <sz val="9"/>
            <color indexed="81"/>
            <rFont val="Verdana"/>
          </rPr>
          <t>Estimate based on view that Google accounts for about 50% of online advertising revenue. Estimate based on view that Google accounts for about 50% of online advertising revenue. Or $2,264 million based on CDN population that is 9.1% of that the US, i.e. CDN $ = Google US revenues of $24.9 billion (Google, AR 2013, p. 82) * 9.1%.</t>
        </r>
      </text>
    </comment>
    <comment ref="BR10" authorId="0">
      <text>
        <r>
          <rPr>
            <b/>
            <sz val="9"/>
            <color indexed="81"/>
            <rFont val="Calibri"/>
            <family val="2"/>
          </rPr>
          <t>LR:</t>
        </r>
        <r>
          <rPr>
            <sz val="9"/>
            <color indexed="81"/>
            <rFont val="Calibri"/>
            <family val="2"/>
          </rPr>
          <t xml:space="preserve">
CRTC Cogeco Aggregate Annual Report, 2010</t>
        </r>
      </text>
    </comment>
    <comment ref="BX10" authorId="1">
      <text>
        <r>
          <rPr>
            <sz val="9"/>
            <color indexed="81"/>
            <rFont val="Verdana"/>
          </rPr>
          <t>Estimate based on view that Google accounts for about 50% of online advertising revenue.</t>
        </r>
      </text>
    </comment>
    <comment ref="CA10" authorId="1">
      <text>
        <r>
          <rPr>
            <sz val="9"/>
            <color indexed="81"/>
            <rFont val="Verdana"/>
          </rPr>
          <t xml:space="preserve">CRTC Individual Pay and Specialty Financial Summaries. </t>
        </r>
      </text>
    </comment>
    <comment ref="CK10" authorId="1">
      <text>
        <r>
          <rPr>
            <sz val="9"/>
            <color indexed="81"/>
            <rFont val="Verdana"/>
          </rPr>
          <t xml:space="preserve">CRTC Individual Pay and Specialty Financial Summaries. </t>
        </r>
      </text>
    </comment>
    <comment ref="CU10" authorId="1">
      <text>
        <r>
          <rPr>
            <sz val="9"/>
            <color indexed="81"/>
            <rFont val="Verdana"/>
          </rPr>
          <t xml:space="preserve">CRTC Individual Pay and Specialty Financial Summaries. </t>
        </r>
      </text>
    </comment>
    <comment ref="BE13" authorId="1">
      <text>
        <r>
          <rPr>
            <b/>
            <sz val="9"/>
            <color indexed="81"/>
            <rFont val="Calibri"/>
            <family val="2"/>
          </rPr>
          <t>Dwayne Winseck: Telus 2011 Annual Report, p. 36 for subscriber numbers multiplied by ARPU of $34.06 derived from CRTC
CMR 2010, p. 137.</t>
        </r>
        <r>
          <rPr>
            <sz val="9"/>
            <color indexed="81"/>
            <rFont val="Calibri"/>
            <family val="2"/>
          </rPr>
          <t xml:space="preserve">
</t>
        </r>
      </text>
    </comment>
    <comment ref="CN18" authorId="2">
      <text>
        <r>
          <rPr>
            <b/>
            <sz val="9"/>
            <color indexed="81"/>
            <rFont val="Calibri"/>
            <family val="2"/>
          </rPr>
          <t>Based on 18,090,640 Facebook users as of September 2012 multiplied by ARPU of $12.70/year. User numbers from  http://www.internetworldstats.com/america.htm and ARPU numbers from Facebook's Annual Report 2012, p. 37.</t>
        </r>
      </text>
    </comment>
    <comment ref="CX18" authorId="2">
      <text>
        <r>
          <rPr>
            <sz val="9"/>
            <color indexed="81"/>
            <rFont val="Calibri"/>
            <family val="2"/>
          </rPr>
          <t xml:space="preserve">Based on 19 million Facebook users as of mid 2013 multiplied by ARPU of $18.70/year. User estimates from Facebook press release, e.g. see http://www.huffingtonpost.ca/2013/08/13/facebook-use-canada_n_3751378.html   and ARPU numbers from Facebook's Annual Report 2013, p. 41.  </t>
        </r>
      </text>
    </comment>
    <comment ref="CN19" authorId="1">
      <text>
        <r>
          <rPr>
            <b/>
            <sz val="9"/>
            <color indexed="81"/>
            <rFont val="Calibri"/>
            <family val="2"/>
          </rPr>
          <t>Dwayne Winseck:</t>
        </r>
        <r>
          <rPr>
            <sz val="9"/>
            <color indexed="81"/>
            <rFont val="Calibri"/>
            <family val="2"/>
          </rPr>
          <t xml:space="preserve">
Based on an estimate of 1.6 million subscribers at the end of 2012 versus 1.2 million at the end of 2011 and montly subscription rate of $8 (IHS Screen Digest, 2013).  </t>
        </r>
      </text>
    </comment>
    <comment ref="CX19" authorId="1">
      <text>
        <r>
          <rPr>
            <sz val="9"/>
            <color indexed="81"/>
            <rFont val="Calibri"/>
            <family val="2"/>
          </rPr>
          <t xml:space="preserve">Based on an estimate of 2.25 million household subscribers in Canada. This is average of 1.6 million at end of 2012 and an estimate of 2.9 million users at end of 2013. The latter figure is a percentage of US Neflix subscriber numbers (32,712,000) at year end 2013 (Netflix Annual Report at p. 22) based on population, i.e. Canada's population is 9.1% of that of the US. Subscriber estimate multiplied by montly subscription rate of $8. </t>
        </r>
      </text>
    </comment>
    <comment ref="BX20" authorId="2">
      <text>
        <r>
          <rPr>
            <b/>
            <sz val="9"/>
            <color indexed="81"/>
            <rFont val="Calibri"/>
            <family val="2"/>
          </rPr>
          <t>Based on 18,090,640 Facebook users as of September 2012 multiplied by ARPU of $12.70/year. User numbers from  http://www.internetworldstats.com/america.htm and ARPU numbers from Facebook's Annual Report 2012, p. 37.</t>
        </r>
      </text>
    </comment>
    <comment ref="CD20" authorId="1">
      <text>
        <r>
          <rPr>
            <sz val="9"/>
            <color indexed="81"/>
            <rFont val="Verdana"/>
          </rPr>
          <t>IAB, 2012 Actual + 2013 Estimated Canadian Internet Advertising Revenue Survey, p. 6.</t>
        </r>
      </text>
    </comment>
    <comment ref="CJ20" authorId="1">
      <text>
        <r>
          <rPr>
            <b/>
            <sz val="9"/>
            <color indexed="81"/>
            <rFont val="Calibri"/>
            <family val="2"/>
          </rPr>
          <t>Dwayne Winseck:</t>
        </r>
        <r>
          <rPr>
            <sz val="9"/>
            <color indexed="81"/>
            <rFont val="Calibri"/>
            <family val="2"/>
          </rPr>
          <t xml:space="preserve">
</t>
        </r>
        <r>
          <rPr>
            <sz val="9"/>
            <color indexed="81"/>
            <rFont val="Cambria"/>
          </rPr>
          <t>CRTC 2014 CMR p. 120.</t>
        </r>
      </text>
    </comment>
    <comment ref="CN20" authorId="0">
      <text>
        <r>
          <rPr>
            <b/>
            <sz val="9"/>
            <color indexed="81"/>
            <rFont val="Calibri"/>
            <family val="2"/>
          </rPr>
          <t>LR:</t>
        </r>
        <r>
          <rPr>
            <sz val="9"/>
            <color indexed="81"/>
            <rFont val="Calibri"/>
            <family val="2"/>
          </rPr>
          <t xml:space="preserve">
Sum of Internet Advertising and Netflix Subscription revenue. IAB2012 Actual + 2013 Estimated Canadian Internet Advertising Revenue Survey. http://iabcanada.com/files/Canadian_Internet_Advertising_Revenue_Survey_2012-13English.pdf p. 6.</t>
        </r>
      </text>
    </comment>
    <comment ref="CS20" authorId="2">
      <text>
        <r>
          <rPr>
            <sz val="9"/>
            <color indexed="81"/>
            <rFont val="Verdana"/>
          </rPr>
          <t xml:space="preserve">CRTC's CMR 2014 Press Release. </t>
        </r>
      </text>
    </comment>
    <comment ref="CT20" authorId="1">
      <text>
        <r>
          <rPr>
            <sz val="9"/>
            <color indexed="81"/>
            <rFont val="Verdana"/>
          </rPr>
          <t>CRTC 2014 CMR p. 120.</t>
        </r>
      </text>
    </comment>
    <comment ref="CX20" authorId="1">
      <text>
        <r>
          <rPr>
            <sz val="9"/>
            <color indexed="81"/>
            <rFont val="Verdana"/>
          </rPr>
          <t xml:space="preserve">Sum of Internet Advertising and Netflix Subscription revenue. IAB, 2013 Actual + 2014 Estimated Canadian Internet Advertising Revenue Survey, p. 9.
</t>
        </r>
      </text>
    </comment>
    <comment ref="CD24" authorId="1">
      <text>
        <r>
          <rPr>
            <sz val="9"/>
            <color indexed="81"/>
            <rFont val="Verdana"/>
          </rPr>
          <t>IAB, 2012 Actual + 2013 Estimated Canadian Internet Advertising Revenue Survey, p. 6.</t>
        </r>
      </text>
    </comment>
    <comment ref="CE24" authorId="1">
      <text>
        <r>
          <rPr>
            <sz val="9"/>
            <color indexed="81"/>
            <rFont val="Verdana"/>
          </rPr>
          <t xml:space="preserve">IAB, 2012 Actual + 2013 Estimated Canadian Internet Advertising Revenue Survey, p. 6.
</t>
        </r>
      </text>
    </comment>
    <comment ref="CF24" authorId="1">
      <text>
        <r>
          <rPr>
            <sz val="9"/>
            <color indexed="81"/>
            <rFont val="Verdana"/>
          </rPr>
          <t xml:space="preserve">IAB, 2013 Actual + 2014 Estimated Canadian Internet Advertising Revenue Survey, p. 3.
</t>
        </r>
      </text>
    </comment>
  </commentList>
</comments>
</file>

<file path=xl/sharedStrings.xml><?xml version="1.0" encoding="utf-8"?>
<sst xmlns="http://schemas.openxmlformats.org/spreadsheetml/2006/main" count="803" uniqueCount="261">
  <si>
    <t>Bragg (EastLink)</t>
  </si>
  <si>
    <t>Unimedia</t>
    <phoneticPr fontId="3" type="noConversion"/>
  </si>
  <si>
    <t>CHUM</t>
    <phoneticPr fontId="3" type="noConversion"/>
  </si>
  <si>
    <t>Hollinger</t>
    <phoneticPr fontId="3" type="noConversion"/>
  </si>
  <si>
    <t>Cogeco</t>
    <phoneticPr fontId="3" type="noConversion"/>
  </si>
  <si>
    <t>Moffatt</t>
    <phoneticPr fontId="3" type="noConversion"/>
  </si>
  <si>
    <t>FP</t>
    <phoneticPr fontId="3" type="noConversion"/>
  </si>
  <si>
    <t>WIC</t>
    <phoneticPr fontId="3" type="noConversion"/>
  </si>
  <si>
    <t>Astral</t>
    <phoneticPr fontId="3" type="noConversion"/>
  </si>
  <si>
    <t>Aliance Atlantis</t>
    <phoneticPr fontId="3" type="noConversion"/>
  </si>
  <si>
    <t>Horizon</t>
    <phoneticPr fontId="3" type="noConversion"/>
  </si>
  <si>
    <t>Armadale</t>
    <phoneticPr fontId="3" type="noConversion"/>
  </si>
  <si>
    <t>Netstar</t>
    <phoneticPr fontId="3" type="noConversion"/>
  </si>
  <si>
    <t>Sprint</t>
    <phoneticPr fontId="3" type="noConversion"/>
  </si>
  <si>
    <t>HN</t>
    <phoneticPr fontId="3" type="noConversion"/>
  </si>
  <si>
    <t>Irving Brunswick News</t>
    <phoneticPr fontId="3" type="noConversion"/>
  </si>
  <si>
    <t>Shaw</t>
    <phoneticPr fontId="3" type="noConversion"/>
  </si>
  <si>
    <t>Irving</t>
    <phoneticPr fontId="3" type="noConversion"/>
  </si>
  <si>
    <t>NewCap</t>
    <phoneticPr fontId="3" type="noConversion"/>
  </si>
  <si>
    <t>SCG</t>
    <phoneticPr fontId="3" type="noConversion"/>
  </si>
  <si>
    <t>Irving</t>
  </si>
  <si>
    <t>Hollinger</t>
  </si>
  <si>
    <t>JPI</t>
    <phoneticPr fontId="3" type="noConversion"/>
  </si>
  <si>
    <t>Cogeco</t>
    <phoneticPr fontId="3" type="noConversion"/>
  </si>
  <si>
    <t>Netstar</t>
    <phoneticPr fontId="3" type="noConversion"/>
  </si>
  <si>
    <t>Electrohome</t>
    <phoneticPr fontId="3" type="noConversion"/>
  </si>
  <si>
    <t>Total $ (millions)</t>
    <phoneticPr fontId="3" type="noConversion"/>
  </si>
  <si>
    <t>SCG</t>
    <phoneticPr fontId="3" type="noConversion"/>
  </si>
  <si>
    <t>Astral</t>
    <phoneticPr fontId="3" type="noConversion"/>
  </si>
  <si>
    <t>Total NMI $</t>
    <phoneticPr fontId="3" type="noConversion"/>
  </si>
  <si>
    <t>C1</t>
    <phoneticPr fontId="3" type="noConversion"/>
  </si>
  <si>
    <t>C4</t>
    <phoneticPr fontId="3" type="noConversion"/>
  </si>
  <si>
    <t>C10</t>
    <phoneticPr fontId="3" type="noConversion"/>
  </si>
  <si>
    <t>C10</t>
  </si>
  <si>
    <t>HHI</t>
    <phoneticPr fontId="3" type="noConversion"/>
  </si>
  <si>
    <t>AGT</t>
    <phoneticPr fontId="3" type="noConversion"/>
  </si>
  <si>
    <t>Telus</t>
    <phoneticPr fontId="3" type="noConversion"/>
  </si>
  <si>
    <t>Shaw</t>
    <phoneticPr fontId="3" type="noConversion"/>
  </si>
  <si>
    <t>Southam</t>
    <phoneticPr fontId="3" type="noConversion"/>
  </si>
  <si>
    <t>Southam</t>
    <phoneticPr fontId="3" type="noConversion"/>
  </si>
  <si>
    <t>AT&amp;T</t>
    <phoneticPr fontId="3" type="noConversion"/>
  </si>
  <si>
    <t>Thomson</t>
    <phoneticPr fontId="3" type="noConversion"/>
  </si>
  <si>
    <t>Thomson</t>
    <phoneticPr fontId="3" type="noConversion"/>
  </si>
  <si>
    <t>Videotron/TVA</t>
    <phoneticPr fontId="3" type="noConversion"/>
  </si>
  <si>
    <t>Quebecor</t>
    <phoneticPr fontId="3" type="noConversion"/>
  </si>
  <si>
    <t>CTVGlobeMedia</t>
    <phoneticPr fontId="3" type="noConversion"/>
  </si>
  <si>
    <t>Sasktel</t>
    <phoneticPr fontId="3" type="noConversion"/>
  </si>
  <si>
    <t>M-H</t>
    <phoneticPr fontId="3" type="noConversion"/>
  </si>
  <si>
    <t>MTS</t>
    <phoneticPr fontId="3" type="noConversion"/>
  </si>
  <si>
    <t>Mar. T&amp;T</t>
  </si>
  <si>
    <t>Hollinger</t>
    <phoneticPr fontId="3" type="noConversion"/>
  </si>
  <si>
    <t xml:space="preserve">  Mar. T&amp;T</t>
  </si>
  <si>
    <t>Shaw</t>
    <phoneticPr fontId="3" type="noConversion"/>
  </si>
  <si>
    <t>Torstar</t>
    <phoneticPr fontId="3" type="noConversion"/>
  </si>
  <si>
    <t>M-H</t>
    <phoneticPr fontId="3" type="noConversion"/>
  </si>
  <si>
    <t>MTS</t>
    <phoneticPr fontId="3" type="noConversion"/>
  </si>
  <si>
    <t>Sprint</t>
    <phoneticPr fontId="3" type="noConversion"/>
  </si>
  <si>
    <t>MTS</t>
    <phoneticPr fontId="3" type="noConversion"/>
  </si>
  <si>
    <t>Videotron/TVA</t>
    <phoneticPr fontId="3" type="noConversion"/>
  </si>
  <si>
    <t>Torstar</t>
    <phoneticPr fontId="3" type="noConversion"/>
  </si>
  <si>
    <t xml:space="preserve">  NB Tel</t>
  </si>
  <si>
    <t>M-H</t>
    <phoneticPr fontId="3" type="noConversion"/>
  </si>
  <si>
    <t>NB Tel</t>
  </si>
  <si>
    <t>MTS</t>
    <phoneticPr fontId="3" type="noConversion"/>
  </si>
  <si>
    <t>Sasktel</t>
    <phoneticPr fontId="3" type="noConversion"/>
  </si>
  <si>
    <t>Torstar</t>
    <phoneticPr fontId="3" type="noConversion"/>
  </si>
  <si>
    <t>Hollinger</t>
    <phoneticPr fontId="3" type="noConversion"/>
  </si>
  <si>
    <t>Canwest</t>
    <phoneticPr fontId="3" type="noConversion"/>
  </si>
  <si>
    <t>EastLink</t>
    <phoneticPr fontId="3" type="noConversion"/>
  </si>
  <si>
    <t>Baton/CTV</t>
    <phoneticPr fontId="3" type="noConversion"/>
  </si>
  <si>
    <t>Toronto Sun</t>
    <phoneticPr fontId="3" type="noConversion"/>
  </si>
  <si>
    <t>Fido</t>
    <phoneticPr fontId="3" type="noConversion"/>
  </si>
  <si>
    <t>Power</t>
    <phoneticPr fontId="3" type="noConversion"/>
  </si>
  <si>
    <t xml:space="preserve">Power Corp. </t>
  </si>
  <si>
    <t>East-Link</t>
  </si>
  <si>
    <t>Selkirk</t>
    <phoneticPr fontId="3" type="noConversion"/>
  </si>
  <si>
    <t xml:space="preserve">  New Tel</t>
  </si>
  <si>
    <t>New Tel</t>
  </si>
  <si>
    <t>Thomson</t>
    <phoneticPr fontId="3" type="noConversion"/>
  </si>
  <si>
    <t>TQS/CFCF</t>
    <phoneticPr fontId="3" type="noConversion"/>
  </si>
  <si>
    <t>Selkirk</t>
    <phoneticPr fontId="3" type="noConversion"/>
  </si>
  <si>
    <t>Thomson</t>
    <phoneticPr fontId="3" type="noConversion"/>
  </si>
  <si>
    <t>360 Networks</t>
    <phoneticPr fontId="3" type="noConversion"/>
  </si>
  <si>
    <t>Total $ (millions)</t>
    <phoneticPr fontId="3" type="noConversion"/>
  </si>
  <si>
    <t>Vertically-Integrated</t>
    <phoneticPr fontId="3" type="noConversion"/>
  </si>
  <si>
    <t>TQS/CFCF</t>
    <phoneticPr fontId="3" type="noConversion"/>
  </si>
  <si>
    <t>Power</t>
    <phoneticPr fontId="3" type="noConversion"/>
  </si>
  <si>
    <t>Alliance Atl</t>
    <phoneticPr fontId="3" type="noConversion"/>
  </si>
  <si>
    <t>Total $ (millions)</t>
    <phoneticPr fontId="3" type="noConversion"/>
  </si>
  <si>
    <t>CHUM</t>
    <phoneticPr fontId="3" type="noConversion"/>
  </si>
  <si>
    <t>Baton/CTV</t>
    <phoneticPr fontId="3" type="noConversion"/>
  </si>
  <si>
    <t>Total $ (millions)</t>
    <phoneticPr fontId="3" type="noConversion"/>
  </si>
  <si>
    <t>TVA</t>
    <phoneticPr fontId="3" type="noConversion"/>
  </si>
  <si>
    <t>Canwest</t>
    <phoneticPr fontId="3" type="noConversion"/>
  </si>
  <si>
    <t>360 Networks</t>
    <phoneticPr fontId="3" type="noConversion"/>
  </si>
  <si>
    <t>Horizon</t>
    <phoneticPr fontId="3" type="noConversion"/>
  </si>
  <si>
    <t>Sterling</t>
    <phoneticPr fontId="3" type="noConversion"/>
  </si>
  <si>
    <t>Electrohome</t>
    <phoneticPr fontId="3" type="noConversion"/>
  </si>
  <si>
    <t>Irving</t>
    <phoneticPr fontId="3" type="noConversion"/>
  </si>
  <si>
    <t>Total $ (millions)</t>
    <phoneticPr fontId="3" type="noConversion"/>
  </si>
  <si>
    <t>SCG</t>
    <phoneticPr fontId="3" type="noConversion"/>
  </si>
  <si>
    <t>Cogeco</t>
    <phoneticPr fontId="3" type="noConversion"/>
  </si>
  <si>
    <t>Armadale</t>
    <phoneticPr fontId="3" type="noConversion"/>
  </si>
  <si>
    <t>Electrohome</t>
    <phoneticPr fontId="3" type="noConversion"/>
  </si>
  <si>
    <t>SCG</t>
    <phoneticPr fontId="3" type="noConversion"/>
  </si>
  <si>
    <t>Astral</t>
    <phoneticPr fontId="3" type="noConversion"/>
  </si>
  <si>
    <t>Total NMI $</t>
    <phoneticPr fontId="3" type="noConversion"/>
  </si>
  <si>
    <t>Total NMI $</t>
  </si>
  <si>
    <t>Total NMI $</t>
    <phoneticPr fontId="3" type="noConversion"/>
  </si>
  <si>
    <t>C1</t>
  </si>
  <si>
    <t>CR1</t>
  </si>
  <si>
    <t>C4</t>
    <phoneticPr fontId="3" type="noConversion"/>
  </si>
  <si>
    <t>CR4</t>
  </si>
  <si>
    <t>C10</t>
    <phoneticPr fontId="3" type="noConversion"/>
  </si>
  <si>
    <t>CR10</t>
  </si>
  <si>
    <t>HHI</t>
    <phoneticPr fontId="3" type="noConversion"/>
  </si>
  <si>
    <t>HHI</t>
    <phoneticPr fontId="3" type="noConversion"/>
  </si>
  <si>
    <t>HHI</t>
    <phoneticPr fontId="3" type="noConversion"/>
  </si>
  <si>
    <t>HHI</t>
    <phoneticPr fontId="3" type="noConversion"/>
  </si>
  <si>
    <t>HHI</t>
  </si>
  <si>
    <t>HHI</t>
    <phoneticPr fontId="3" type="noConversion"/>
  </si>
  <si>
    <t>Vertically-Integrated Cos Mrkt Share</t>
  </si>
  <si>
    <t>2011 Bell + Astral</t>
    <phoneticPr fontId="3" type="noConversion"/>
  </si>
  <si>
    <t>C4</t>
  </si>
  <si>
    <t xml:space="preserve">Total  </t>
  </si>
  <si>
    <t>C4</t>
    <phoneticPr fontId="3" type="noConversion"/>
  </si>
  <si>
    <t>C10</t>
    <phoneticPr fontId="3" type="noConversion"/>
  </si>
  <si>
    <t>HHI</t>
    <phoneticPr fontId="3" type="noConversion"/>
  </si>
  <si>
    <t xml:space="preserve">Wireline </t>
    <phoneticPr fontId="3" type="noConversion"/>
  </si>
  <si>
    <t>Wireless (1985)</t>
    <phoneticPr fontId="3" type="noConversion"/>
  </si>
  <si>
    <t>Mrtk Share</t>
    <phoneticPr fontId="3" type="noConversion"/>
  </si>
  <si>
    <t>Wireless</t>
    <phoneticPr fontId="3" type="noConversion"/>
  </si>
  <si>
    <t>Wireline</t>
  </si>
  <si>
    <t>Wireless</t>
  </si>
  <si>
    <t>Internet Access</t>
    <phoneticPr fontId="3" type="noConversion"/>
  </si>
  <si>
    <t>Press + Mags</t>
    <phoneticPr fontId="3" type="noConversion"/>
  </si>
  <si>
    <t>Mrkt Share</t>
    <phoneticPr fontId="3" type="noConversion"/>
  </si>
  <si>
    <t xml:space="preserve">Wireline </t>
    <phoneticPr fontId="3" type="noConversion"/>
  </si>
  <si>
    <t>Wireless</t>
    <phoneticPr fontId="3" type="noConversion"/>
  </si>
  <si>
    <t>Total TV</t>
    <phoneticPr fontId="3" type="noConversion"/>
  </si>
  <si>
    <t>Internet Advertising</t>
    <phoneticPr fontId="3" type="noConversion"/>
  </si>
  <si>
    <t>Wireline</t>
    <phoneticPr fontId="3" type="noConversion"/>
  </si>
  <si>
    <t>Bell</t>
    <phoneticPr fontId="3" type="noConversion"/>
  </si>
  <si>
    <t>Bell</t>
    <phoneticPr fontId="3" type="noConversion"/>
  </si>
  <si>
    <t>Bell (3)</t>
  </si>
  <si>
    <t>Bell</t>
    <phoneticPr fontId="3" type="noConversion"/>
  </si>
  <si>
    <t>BCTel</t>
    <phoneticPr fontId="3" type="noConversion"/>
  </si>
  <si>
    <t>Telus</t>
    <phoneticPr fontId="3" type="noConversion"/>
  </si>
  <si>
    <t>CBC</t>
    <phoneticPr fontId="3" type="noConversion"/>
  </si>
  <si>
    <t>Rogers</t>
    <phoneticPr fontId="3" type="noConversion"/>
  </si>
  <si>
    <t>WIC</t>
    <phoneticPr fontId="3" type="noConversion"/>
  </si>
  <si>
    <t>PostMedia</t>
  </si>
  <si>
    <t xml:space="preserve">MTS </t>
  </si>
  <si>
    <t>Power</t>
    <phoneticPr fontId="3" type="noConversion"/>
  </si>
  <si>
    <t>Cogeco</t>
    <phoneticPr fontId="3" type="noConversion"/>
  </si>
  <si>
    <t>Cogeco</t>
  </si>
  <si>
    <t>Google</t>
    <phoneticPr fontId="3" type="noConversion"/>
  </si>
  <si>
    <t>Google</t>
  </si>
  <si>
    <t>Selkirk</t>
    <phoneticPr fontId="3" type="noConversion"/>
  </si>
  <si>
    <t>WIC</t>
  </si>
  <si>
    <t>CHUM</t>
  </si>
  <si>
    <t xml:space="preserve">Cogeco </t>
  </si>
  <si>
    <t>TQS/CFCF</t>
    <phoneticPr fontId="3" type="noConversion"/>
  </si>
  <si>
    <t>Canwest</t>
    <phoneticPr fontId="3" type="noConversion"/>
  </si>
  <si>
    <t>Baton/CTV</t>
  </si>
  <si>
    <t>Toronto Sun</t>
    <phoneticPr fontId="3" type="noConversion"/>
  </si>
  <si>
    <t>Power</t>
    <phoneticPr fontId="3" type="noConversion"/>
  </si>
  <si>
    <t>Astral</t>
  </si>
  <si>
    <t>TVA</t>
    <phoneticPr fontId="3" type="noConversion"/>
  </si>
  <si>
    <t>Selkirk</t>
    <phoneticPr fontId="3" type="noConversion"/>
  </si>
  <si>
    <t>CHUM</t>
    <phoneticPr fontId="3" type="noConversion"/>
  </si>
  <si>
    <t>Power Corp.</t>
  </si>
  <si>
    <t>SaskTel</t>
  </si>
  <si>
    <t>Hollinger</t>
    <phoneticPr fontId="3" type="noConversion"/>
  </si>
  <si>
    <t>Baton/CTV</t>
    <phoneticPr fontId="3" type="noConversion"/>
  </si>
  <si>
    <t>Astral</t>
    <phoneticPr fontId="3" type="noConversion"/>
  </si>
  <si>
    <t>Osprey</t>
    <phoneticPr fontId="3" type="noConversion"/>
  </si>
  <si>
    <t>Power Corp</t>
  </si>
  <si>
    <t xml:space="preserve">Postmedia </t>
  </si>
  <si>
    <t>Thomson</t>
    <phoneticPr fontId="3" type="noConversion"/>
  </si>
  <si>
    <t>Alliance Atl</t>
    <phoneticPr fontId="3" type="noConversion"/>
  </si>
  <si>
    <t>EastLink</t>
  </si>
  <si>
    <t>Unimedia</t>
    <phoneticPr fontId="3" type="noConversion"/>
  </si>
  <si>
    <t>TQS/CFCF</t>
  </si>
  <si>
    <t>Moffatt</t>
    <phoneticPr fontId="3" type="noConversion"/>
  </si>
  <si>
    <t>Standard</t>
    <phoneticPr fontId="3" type="noConversion"/>
  </si>
  <si>
    <t>Total $ (millions)</t>
    <phoneticPr fontId="3" type="noConversion"/>
  </si>
  <si>
    <t>EastLink</t>
    <phoneticPr fontId="3" type="noConversion"/>
  </si>
  <si>
    <t>WIC</t>
    <phoneticPr fontId="3" type="noConversion"/>
  </si>
  <si>
    <t>Irving</t>
    <phoneticPr fontId="3" type="noConversion"/>
  </si>
  <si>
    <t>Cogeco</t>
    <phoneticPr fontId="3" type="noConversion"/>
  </si>
  <si>
    <t>Bragg</t>
    <phoneticPr fontId="3" type="noConversion"/>
  </si>
  <si>
    <t>MTS</t>
  </si>
  <si>
    <t>TransCon</t>
    <phoneticPr fontId="3" type="noConversion"/>
  </si>
  <si>
    <t>Globe &amp; Mail</t>
  </si>
  <si>
    <t>Armadale</t>
    <phoneticPr fontId="3" type="noConversion"/>
  </si>
  <si>
    <t>Netstar</t>
    <phoneticPr fontId="3" type="noConversion"/>
  </si>
  <si>
    <t>All. Atl.</t>
    <phoneticPr fontId="3" type="noConversion"/>
  </si>
  <si>
    <t>FP</t>
    <phoneticPr fontId="3" type="noConversion"/>
  </si>
  <si>
    <t>Facebook</t>
  </si>
  <si>
    <t>Shaw</t>
    <phoneticPr fontId="3" type="noConversion"/>
  </si>
  <si>
    <t>HN</t>
    <phoneticPr fontId="3" type="noConversion"/>
  </si>
  <si>
    <t>Netflix</t>
  </si>
  <si>
    <t>Moffatt</t>
    <phoneticPr fontId="3" type="noConversion"/>
  </si>
  <si>
    <t>CUC</t>
    <phoneticPr fontId="3" type="noConversion"/>
  </si>
  <si>
    <t>CUC</t>
    <phoneticPr fontId="3" type="noConversion"/>
  </si>
  <si>
    <t>Bragg</t>
    <phoneticPr fontId="3" type="noConversion"/>
  </si>
  <si>
    <t>Videotron/TVA</t>
    <phoneticPr fontId="3" type="noConversion"/>
  </si>
  <si>
    <t>Mrkt Share</t>
    <phoneticPr fontId="3" type="noConversion"/>
  </si>
  <si>
    <t>Total $ (millions)</t>
    <phoneticPr fontId="3" type="noConversion"/>
  </si>
  <si>
    <t>TV</t>
    <phoneticPr fontId="3" type="noConversion"/>
  </si>
  <si>
    <t>Cable</t>
    <phoneticPr fontId="3" type="noConversion"/>
  </si>
  <si>
    <t>Press + Mag</t>
    <phoneticPr fontId="3" type="noConversion"/>
  </si>
  <si>
    <t>Radio</t>
    <phoneticPr fontId="3" type="noConversion"/>
  </si>
  <si>
    <t>TV</t>
  </si>
  <si>
    <t>Cable</t>
  </si>
  <si>
    <t>Press +Mag</t>
    <phoneticPr fontId="3" type="noConversion"/>
  </si>
  <si>
    <t>Radio</t>
  </si>
  <si>
    <t>Internet Access</t>
    <phoneticPr fontId="3" type="noConversion"/>
  </si>
  <si>
    <t>Total $</t>
  </si>
  <si>
    <t>Internet Advertising</t>
  </si>
  <si>
    <t>Internet Access</t>
  </si>
  <si>
    <t>Press + Mags</t>
    <phoneticPr fontId="3" type="noConversion"/>
  </si>
  <si>
    <t>Mrkt Share</t>
  </si>
  <si>
    <t>Total $ (mills)</t>
  </si>
  <si>
    <t>Cable, Sat &amp; IPTV</t>
  </si>
  <si>
    <t>Total TV</t>
  </si>
  <si>
    <t>Cable &amp; Sat. Dist</t>
  </si>
  <si>
    <t>Total TV</t>
    <phoneticPr fontId="3" type="noConversion"/>
  </si>
  <si>
    <t>CBC</t>
    <phoneticPr fontId="3" type="noConversion"/>
  </si>
  <si>
    <t>CBC</t>
    <phoneticPr fontId="3" type="noConversion"/>
  </si>
  <si>
    <t>CBC</t>
  </si>
  <si>
    <t>Rogers</t>
    <phoneticPr fontId="3" type="noConversion"/>
  </si>
  <si>
    <t>Bell</t>
    <phoneticPr fontId="3" type="noConversion"/>
  </si>
  <si>
    <t>Bell</t>
  </si>
  <si>
    <t>Rogers</t>
  </si>
  <si>
    <t>Shaw Media</t>
  </si>
  <si>
    <t>Bell CTV (3)</t>
  </si>
  <si>
    <t>Southam</t>
    <phoneticPr fontId="3" type="noConversion"/>
  </si>
  <si>
    <t>Hollinger</t>
    <phoneticPr fontId="3" type="noConversion"/>
  </si>
  <si>
    <t>Canwest</t>
    <phoneticPr fontId="3" type="noConversion"/>
  </si>
  <si>
    <t>Shaw</t>
  </si>
  <si>
    <t>Thomson</t>
    <phoneticPr fontId="3" type="noConversion"/>
  </si>
  <si>
    <t>M-H</t>
    <phoneticPr fontId="3" type="noConversion"/>
  </si>
  <si>
    <t>CBC</t>
    <phoneticPr fontId="3" type="noConversion"/>
  </si>
  <si>
    <t>Quebecor</t>
    <phoneticPr fontId="3" type="noConversion"/>
  </si>
  <si>
    <t>Quebecor</t>
  </si>
  <si>
    <t>Bell</t>
    <phoneticPr fontId="3" type="noConversion"/>
  </si>
  <si>
    <t>Telus</t>
  </si>
  <si>
    <t>Thomson</t>
  </si>
  <si>
    <t>Videotron/TVA</t>
    <phoneticPr fontId="3" type="noConversion"/>
  </si>
  <si>
    <t>Shaw</t>
    <phoneticPr fontId="3" type="noConversion"/>
  </si>
  <si>
    <t>Canwest</t>
  </si>
  <si>
    <t>QMI</t>
  </si>
  <si>
    <t>Torstar</t>
    <phoneticPr fontId="3" type="noConversion"/>
  </si>
  <si>
    <t>Rogers</t>
    <phoneticPr fontId="3" type="noConversion"/>
  </si>
  <si>
    <t>CTVGlobeMedia</t>
    <phoneticPr fontId="3" type="noConversion"/>
  </si>
  <si>
    <t>Videotron/TVA</t>
  </si>
  <si>
    <t>CTVGlobemedia (2)</t>
  </si>
  <si>
    <t>Baton/CTV</t>
    <phoneticPr fontId="3" type="noConversion"/>
  </si>
  <si>
    <t>Torstar</t>
  </si>
</sst>
</file>

<file path=xl/styles.xml><?xml version="1.0" encoding="utf-8"?>
<styleSheet xmlns="http://schemas.openxmlformats.org/spreadsheetml/2006/main">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0.0"/>
    <numFmt numFmtId="165" formatCode="#,##0.0"/>
    <numFmt numFmtId="166" formatCode="0.000"/>
    <numFmt numFmtId="167" formatCode="0.0%"/>
    <numFmt numFmtId="168" formatCode="&quot; &quot;* #,##0&quot; &quot;;&quot; &quot;* \(#,##0\);&quot; &quot;* &quot;-&quot;??&quot; &quot;"/>
    <numFmt numFmtId="169" formatCode="&quot; &quot;* #,##0.0&quot; &quot;;&quot; &quot;* \(#,##0.0\);&quot; &quot;* &quot;-&quot;??&quot; &quot;"/>
  </numFmts>
  <fonts count="19">
    <font>
      <sz val="10"/>
      <name val="Verdana"/>
    </font>
    <font>
      <sz val="10"/>
      <name val="Verdana"/>
    </font>
    <font>
      <b/>
      <sz val="14"/>
      <name val="Cambria"/>
    </font>
    <font>
      <sz val="8"/>
      <name val="Verdana"/>
    </font>
    <font>
      <sz val="12"/>
      <name val="Cambria"/>
    </font>
    <font>
      <sz val="12"/>
      <color indexed="10"/>
      <name val="Cambria"/>
    </font>
    <font>
      <b/>
      <sz val="12"/>
      <name val="Cambria"/>
    </font>
    <font>
      <b/>
      <sz val="12"/>
      <color indexed="8"/>
      <name val="Cambria"/>
    </font>
    <font>
      <sz val="12"/>
      <color indexed="8"/>
      <name val="Calibri"/>
      <family val="2"/>
    </font>
    <font>
      <sz val="12"/>
      <color indexed="8"/>
      <name val="Cambria"/>
    </font>
    <font>
      <b/>
      <sz val="9"/>
      <color indexed="81"/>
      <name val="Arial"/>
      <family val="2"/>
    </font>
    <font>
      <sz val="9"/>
      <color indexed="81"/>
      <name val="Arial"/>
      <family val="2"/>
    </font>
    <font>
      <b/>
      <sz val="9"/>
      <color indexed="81"/>
      <name val="Calibri"/>
      <family val="2"/>
    </font>
    <font>
      <sz val="9"/>
      <color indexed="81"/>
      <name val="Calibri"/>
      <family val="2"/>
    </font>
    <font>
      <sz val="9"/>
      <color indexed="81"/>
      <name val="Verdana"/>
    </font>
    <font>
      <sz val="9"/>
      <color indexed="81"/>
      <name val="Cambria"/>
    </font>
    <font>
      <b/>
      <sz val="14"/>
      <color indexed="8"/>
      <name val="Cambria"/>
    </font>
    <font>
      <b/>
      <sz val="9"/>
      <color indexed="81"/>
      <name val="宋体"/>
      <family val="2"/>
    </font>
    <font>
      <b/>
      <sz val="9"/>
      <color indexed="81"/>
      <name val="Verdana"/>
    </font>
  </fonts>
  <fills count="2">
    <fill>
      <patternFill patternType="none"/>
    </fill>
    <fill>
      <patternFill patternType="gray125"/>
    </fill>
  </fills>
  <borders count="2">
    <border>
      <left/>
      <right/>
      <top/>
      <bottom/>
      <diagonal/>
    </border>
    <border>
      <left style="hair">
        <color indexed="64"/>
      </left>
      <right style="hair">
        <color indexed="64"/>
      </right>
      <top style="hair">
        <color indexed="64"/>
      </top>
      <bottom style="hair">
        <color indexed="64"/>
      </bottom>
      <diagonal/>
    </border>
  </borders>
  <cellStyleXfs count="5">
    <xf numFmtId="0" fontId="0" fillId="0" borderId="0"/>
    <xf numFmtId="43" fontId="11" fillId="0" borderId="0" applyFont="0" applyFill="0" applyBorder="0" applyAlignment="0" applyProtection="0"/>
    <xf numFmtId="0" fontId="1" fillId="0" borderId="0"/>
    <xf numFmtId="0" fontId="8" fillId="0" borderId="0"/>
    <xf numFmtId="0" fontId="1" fillId="0" borderId="0"/>
  </cellStyleXfs>
  <cellXfs count="90">
    <xf numFmtId="0" fontId="0" fillId="0" borderId="0" xfId="0"/>
    <xf numFmtId="0" fontId="2" fillId="0" borderId="0" xfId="0" applyNumberFormat="1" applyFont="1" applyFill="1" applyBorder="1" applyAlignment="1">
      <alignment horizontal="right" vertical="top"/>
    </xf>
    <xf numFmtId="0" fontId="2" fillId="0" borderId="0" xfId="0" applyNumberFormat="1" applyFont="1" applyFill="1" applyBorder="1" applyAlignment="1">
      <alignment horizontal="left" vertical="top"/>
    </xf>
    <xf numFmtId="0" fontId="2" fillId="0" borderId="0" xfId="0" applyNumberFormat="1" applyFont="1" applyFill="1" applyAlignment="1">
      <alignment horizontal="left" vertical="top"/>
    </xf>
    <xf numFmtId="0" fontId="2" fillId="0" borderId="0" xfId="0" applyNumberFormat="1" applyFont="1" applyFill="1" applyAlignment="1">
      <alignment horizontal="right" vertical="top"/>
    </xf>
    <xf numFmtId="164" fontId="4" fillId="0" borderId="0" xfId="0" applyNumberFormat="1" applyFont="1" applyFill="1" applyBorder="1"/>
    <xf numFmtId="164" fontId="4" fillId="0" borderId="0" xfId="0" applyNumberFormat="1" applyFont="1" applyFill="1" applyBorder="1" applyAlignment="1">
      <alignment horizontal="right"/>
    </xf>
    <xf numFmtId="164" fontId="4" fillId="0" borderId="0" xfId="0" applyNumberFormat="1" applyFont="1" applyFill="1" applyBorder="1" applyAlignment="1">
      <alignment horizontal="right" vertical="top" wrapText="1"/>
    </xf>
    <xf numFmtId="164" fontId="4" fillId="0" borderId="0" xfId="0" applyNumberFormat="1" applyFont="1" applyFill="1"/>
    <xf numFmtId="164" fontId="4" fillId="0" borderId="0" xfId="0" applyNumberFormat="1" applyFont="1" applyFill="1" applyAlignment="1">
      <alignment horizontal="right"/>
    </xf>
    <xf numFmtId="164" fontId="4" fillId="0" borderId="0" xfId="0" applyNumberFormat="1" applyFont="1" applyFill="1" applyBorder="1" applyAlignment="1"/>
    <xf numFmtId="164" fontId="4" fillId="0" borderId="0" xfId="1" applyNumberFormat="1" applyFont="1" applyFill="1" applyBorder="1"/>
    <xf numFmtId="164" fontId="4" fillId="0" borderId="0" xfId="2" applyNumberFormat="1" applyFont="1" applyFill="1"/>
    <xf numFmtId="164" fontId="5" fillId="0" borderId="0" xfId="0" applyNumberFormat="1" applyFont="1" applyFill="1" applyBorder="1"/>
    <xf numFmtId="164" fontId="6" fillId="0" borderId="0" xfId="0" applyNumberFormat="1" applyFont="1" applyFill="1" applyBorder="1"/>
    <xf numFmtId="164" fontId="6" fillId="0" borderId="0" xfId="0" applyNumberFormat="1" applyFont="1" applyFill="1"/>
    <xf numFmtId="164" fontId="6" fillId="0" borderId="0" xfId="0" applyNumberFormat="1" applyFont="1" applyFill="1" applyAlignment="1">
      <alignment horizontal="right"/>
    </xf>
    <xf numFmtId="164" fontId="4" fillId="0" borderId="0" xfId="0" applyNumberFormat="1" applyFont="1" applyFill="1" applyBorder="1" applyAlignment="1">
      <alignment vertical="top" wrapText="1"/>
    </xf>
    <xf numFmtId="164" fontId="6" fillId="0" borderId="0" xfId="0" applyNumberFormat="1" applyFont="1" applyFill="1" applyBorder="1" applyAlignment="1"/>
    <xf numFmtId="164" fontId="6" fillId="0" borderId="0" xfId="0" applyNumberFormat="1" applyFont="1" applyFill="1" applyProtection="1">
      <protection locked="0"/>
    </xf>
    <xf numFmtId="164" fontId="7" fillId="0" borderId="0" xfId="0" applyNumberFormat="1" applyFont="1"/>
    <xf numFmtId="164" fontId="6" fillId="0" borderId="0" xfId="0" applyNumberFormat="1" applyFont="1" applyFill="1" applyBorder="1" applyAlignment="1">
      <alignment vertical="top" wrapText="1"/>
    </xf>
    <xf numFmtId="164" fontId="6" fillId="0" borderId="0" xfId="0" applyNumberFormat="1" applyFont="1"/>
    <xf numFmtId="164" fontId="7" fillId="0" borderId="0" xfId="0" applyNumberFormat="1" applyFont="1" applyFill="1" applyAlignment="1">
      <alignment horizontal="right"/>
    </xf>
    <xf numFmtId="164" fontId="6" fillId="0" borderId="0" xfId="1" applyNumberFormat="1" applyFont="1" applyFill="1" applyBorder="1"/>
    <xf numFmtId="164" fontId="6" fillId="0" borderId="0" xfId="0" applyNumberFormat="1" applyFont="1" applyFill="1" applyBorder="1" applyAlignment="1">
      <alignment horizontal="left"/>
    </xf>
    <xf numFmtId="164" fontId="4" fillId="0" borderId="0" xfId="0" applyNumberFormat="1" applyFont="1" applyFill="1" applyAlignment="1">
      <alignment horizontal="right" vertical="center" wrapText="1"/>
    </xf>
    <xf numFmtId="164" fontId="4" fillId="0" borderId="0" xfId="0" applyNumberFormat="1" applyFont="1" applyFill="1" applyBorder="1" applyAlignment="1">
      <alignment horizontal="left"/>
    </xf>
    <xf numFmtId="164" fontId="4" fillId="0" borderId="0" xfId="3" applyNumberFormat="1" applyFont="1" applyFill="1"/>
    <xf numFmtId="164" fontId="4" fillId="0" borderId="0" xfId="0" applyNumberFormat="1" applyFont="1" applyFill="1" applyBorder="1" applyAlignment="1">
      <alignment vertical="top"/>
    </xf>
    <xf numFmtId="0" fontId="6" fillId="0" borderId="0" xfId="0" applyFont="1"/>
    <xf numFmtId="164" fontId="6" fillId="0" borderId="0" xfId="3" applyNumberFormat="1" applyFont="1" applyFill="1"/>
    <xf numFmtId="1" fontId="4" fillId="0" borderId="0" xfId="0" applyNumberFormat="1" applyFont="1" applyFill="1"/>
    <xf numFmtId="164" fontId="4" fillId="0" borderId="0" xfId="0" applyNumberFormat="1" applyFont="1" applyFill="1" applyProtection="1">
      <protection locked="0"/>
    </xf>
    <xf numFmtId="164" fontId="4" fillId="0" borderId="0" xfId="0" applyNumberFormat="1" applyFont="1"/>
    <xf numFmtId="0" fontId="6" fillId="0" borderId="0" xfId="0" applyNumberFormat="1" applyFont="1" applyFill="1" applyBorder="1"/>
    <xf numFmtId="0" fontId="6" fillId="0" borderId="0" xfId="1" applyNumberFormat="1" applyFont="1" applyFill="1" applyBorder="1"/>
    <xf numFmtId="0" fontId="6" fillId="0" borderId="0" xfId="0" applyNumberFormat="1" applyFont="1" applyFill="1" applyBorder="1" applyAlignment="1">
      <alignment horizontal="right"/>
    </xf>
    <xf numFmtId="0" fontId="6" fillId="0" borderId="0" xfId="0" applyNumberFormat="1" applyFont="1" applyFill="1" applyBorder="1" applyAlignment="1">
      <alignment horizontal="right" vertical="top"/>
    </xf>
    <xf numFmtId="0" fontId="6" fillId="0" borderId="0" xfId="0" applyNumberFormat="1" applyFont="1" applyFill="1"/>
    <xf numFmtId="0" fontId="6" fillId="0" borderId="0" xfId="0" applyNumberFormat="1" applyFont="1" applyFill="1" applyBorder="1" applyAlignment="1"/>
    <xf numFmtId="0" fontId="6" fillId="0" borderId="0" xfId="1" applyNumberFormat="1" applyFont="1" applyFill="1" applyBorder="1" applyAlignment="1">
      <alignment horizontal="right"/>
    </xf>
    <xf numFmtId="0" fontId="6" fillId="0" borderId="0" xfId="0" applyNumberFormat="1" applyFont="1" applyFill="1" applyBorder="1" applyAlignment="1">
      <alignment horizontal="left"/>
    </xf>
    <xf numFmtId="0" fontId="6" fillId="0" borderId="0" xfId="0" applyNumberFormat="1" applyFont="1" applyAlignment="1">
      <alignment horizontal="right"/>
    </xf>
    <xf numFmtId="0" fontId="6" fillId="0" borderId="0" xfId="0" applyNumberFormat="1" applyFont="1"/>
    <xf numFmtId="164" fontId="4" fillId="0" borderId="0" xfId="0" applyNumberFormat="1" applyFont="1" applyFill="1" applyBorder="1" applyAlignment="1">
      <alignment horizontal="right" vertical="center"/>
    </xf>
    <xf numFmtId="164" fontId="4" fillId="0" borderId="0" xfId="0" applyNumberFormat="1" applyFont="1" applyFill="1" applyBorder="1" applyAlignment="1">
      <alignment horizontal="right" vertical="top"/>
    </xf>
    <xf numFmtId="164" fontId="6" fillId="0" borderId="0" xfId="0" applyNumberFormat="1" applyFont="1" applyFill="1" applyBorder="1" applyAlignment="1">
      <alignment vertical="top"/>
    </xf>
    <xf numFmtId="164" fontId="4" fillId="0" borderId="0" xfId="0" applyNumberFormat="1" applyFont="1" applyFill="1" applyAlignment="1">
      <alignment horizontal="left"/>
    </xf>
    <xf numFmtId="164" fontId="4" fillId="0" borderId="0" xfId="1" applyNumberFormat="1" applyFont="1" applyFill="1" applyBorder="1" applyAlignment="1">
      <alignment horizontal="left"/>
    </xf>
    <xf numFmtId="164" fontId="6" fillId="0" borderId="0" xfId="0" applyNumberFormat="1" applyFont="1" applyAlignment="1">
      <alignment vertical="top"/>
    </xf>
    <xf numFmtId="164" fontId="6" fillId="0" borderId="0" xfId="0" applyNumberFormat="1" applyFont="1" applyFill="1" applyBorder="1" applyAlignment="1">
      <alignment horizontal="left" vertical="center" wrapText="1"/>
    </xf>
    <xf numFmtId="164" fontId="6" fillId="0" borderId="0" xfId="0" applyNumberFormat="1" applyFont="1" applyFill="1" applyBorder="1" applyAlignment="1">
      <alignment horizontal="right" vertical="center" wrapText="1"/>
    </xf>
    <xf numFmtId="164" fontId="6" fillId="0" borderId="0" xfId="0" applyNumberFormat="1" applyFont="1" applyBorder="1"/>
    <xf numFmtId="164" fontId="4" fillId="0" borderId="0" xfId="0" applyNumberFormat="1" applyFont="1" applyBorder="1"/>
    <xf numFmtId="164" fontId="4" fillId="0" borderId="0" xfId="0" applyNumberFormat="1" applyFont="1" applyFill="1" applyBorder="1" applyProtection="1">
      <protection locked="0"/>
    </xf>
    <xf numFmtId="164" fontId="4" fillId="0" borderId="0" xfId="0" applyNumberFormat="1" applyFont="1" applyAlignment="1">
      <alignment horizontal="right"/>
    </xf>
    <xf numFmtId="164" fontId="5" fillId="0" borderId="0" xfId="0" applyNumberFormat="1" applyFont="1"/>
    <xf numFmtId="164" fontId="9" fillId="0" borderId="0" xfId="0" applyNumberFormat="1" applyFont="1" applyFill="1"/>
    <xf numFmtId="164" fontId="4" fillId="0" borderId="0" xfId="0" applyNumberFormat="1" applyFont="1" applyFill="1" applyAlignment="1">
      <alignment vertical="top"/>
    </xf>
    <xf numFmtId="164" fontId="4" fillId="0" borderId="0" xfId="0" applyNumberFormat="1" applyFont="1" applyFill="1" applyAlignment="1">
      <alignment horizontal="right" vertical="top"/>
    </xf>
    <xf numFmtId="164" fontId="5" fillId="0" borderId="0" xfId="0" applyNumberFormat="1" applyFont="1" applyFill="1"/>
    <xf numFmtId="164" fontId="4" fillId="0" borderId="0" xfId="0" applyNumberFormat="1" applyFont="1" applyFill="1" applyAlignment="1">
      <alignment vertical="top"/>
    </xf>
    <xf numFmtId="0" fontId="2" fillId="0" borderId="0" xfId="0" applyNumberFormat="1" applyFont="1" applyFill="1" applyBorder="1" applyAlignment="1"/>
    <xf numFmtId="0" fontId="2" fillId="0" borderId="0" xfId="0" applyNumberFormat="1" applyFont="1" applyFill="1" applyBorder="1" applyAlignment="1">
      <alignment horizontal="left"/>
    </xf>
    <xf numFmtId="0" fontId="2" fillId="0" borderId="0" xfId="0" applyNumberFormat="1" applyFont="1" applyFill="1" applyBorder="1" applyAlignment="1">
      <alignment horizontal="right"/>
    </xf>
    <xf numFmtId="0" fontId="2" fillId="0" borderId="0" xfId="0" applyNumberFormat="1" applyFont="1" applyFill="1" applyAlignment="1"/>
    <xf numFmtId="0" fontId="2" fillId="0" borderId="0" xfId="0" applyNumberFormat="1" applyFont="1" applyFill="1" applyBorder="1" applyAlignment="1">
      <alignment vertical="top"/>
    </xf>
    <xf numFmtId="0" fontId="16" fillId="0" borderId="0" xfId="0" applyNumberFormat="1" applyFont="1" applyFill="1" applyAlignment="1">
      <alignment horizontal="right"/>
    </xf>
    <xf numFmtId="0" fontId="16" fillId="0" borderId="0" xfId="0" applyNumberFormat="1" applyFont="1" applyFill="1" applyAlignment="1"/>
    <xf numFmtId="0" fontId="16" fillId="0" borderId="0" xfId="0" applyNumberFormat="1" applyFont="1" applyFill="1" applyBorder="1" applyAlignment="1"/>
    <xf numFmtId="0" fontId="2" fillId="0" borderId="0" xfId="0" applyNumberFormat="1" applyFont="1" applyFill="1" applyAlignment="1">
      <alignment horizontal="right"/>
    </xf>
    <xf numFmtId="164" fontId="4" fillId="0" borderId="0" xfId="0" applyNumberFormat="1" applyFont="1" applyFill="1" applyAlignment="1">
      <alignment horizontal="right" vertical="center"/>
    </xf>
    <xf numFmtId="164" fontId="9" fillId="0" borderId="1" xfId="0" applyNumberFormat="1" applyFont="1" applyBorder="1" applyAlignment="1">
      <alignment horizontal="right"/>
    </xf>
    <xf numFmtId="164" fontId="9" fillId="0" borderId="1" xfId="0" applyNumberFormat="1" applyFont="1" applyBorder="1"/>
    <xf numFmtId="164" fontId="9" fillId="0" borderId="0" xfId="0" applyNumberFormat="1" applyFont="1" applyFill="1" applyBorder="1" applyAlignment="1">
      <alignment horizontal="right"/>
    </xf>
    <xf numFmtId="164" fontId="6" fillId="0" borderId="0" xfId="0" applyNumberFormat="1" applyFont="1" applyFill="1" applyAlignment="1">
      <alignment horizontal="right" vertical="center"/>
    </xf>
    <xf numFmtId="164" fontId="7" fillId="0" borderId="0" xfId="0" applyNumberFormat="1" applyFont="1" applyFill="1"/>
    <xf numFmtId="164" fontId="9" fillId="0" borderId="0" xfId="4" applyNumberFormat="1" applyFont="1" applyFill="1" applyAlignment="1">
      <alignment horizontal="right"/>
    </xf>
    <xf numFmtId="164" fontId="4" fillId="0" borderId="0" xfId="0" applyNumberFormat="1" applyFont="1" applyFill="1" applyAlignment="1" applyProtection="1">
      <alignment horizontal="right" vertical="top"/>
      <protection locked="0"/>
    </xf>
    <xf numFmtId="164" fontId="9" fillId="0" borderId="0" xfId="0" applyNumberFormat="1" applyFont="1" applyBorder="1" applyAlignment="1">
      <alignment horizontal="right"/>
    </xf>
    <xf numFmtId="164" fontId="9" fillId="0" borderId="0" xfId="0" applyNumberFormat="1" applyFont="1" applyBorder="1"/>
    <xf numFmtId="0" fontId="6" fillId="0" borderId="0" xfId="0" applyNumberFormat="1" applyFont="1" applyBorder="1"/>
    <xf numFmtId="0" fontId="6" fillId="0" borderId="0" xfId="0" applyNumberFormat="1" applyFont="1" applyFill="1" applyBorder="1" applyProtection="1">
      <protection locked="0"/>
    </xf>
    <xf numFmtId="164" fontId="4" fillId="0" borderId="0" xfId="1" applyNumberFormat="1" applyFont="1" applyFill="1" applyBorder="1" applyAlignment="1"/>
    <xf numFmtId="164" fontId="4" fillId="0" borderId="0" xfId="0" applyNumberFormat="1" applyFont="1" applyFill="1" applyBorder="1" applyAlignment="1" applyProtection="1">
      <alignment horizontal="right" vertical="top"/>
      <protection locked="0"/>
    </xf>
    <xf numFmtId="164" fontId="9" fillId="0" borderId="0" xfId="0" applyNumberFormat="1" applyFont="1" applyFill="1" applyAlignment="1">
      <alignment horizontal="right"/>
    </xf>
    <xf numFmtId="0" fontId="4" fillId="0" borderId="0" xfId="0" applyNumberFormat="1" applyFont="1" applyFill="1" applyBorder="1"/>
    <xf numFmtId="0" fontId="4" fillId="0" borderId="0" xfId="0" applyNumberFormat="1" applyFont="1" applyFill="1" applyBorder="1" applyAlignment="1">
      <alignment horizontal="right" vertical="center"/>
    </xf>
    <xf numFmtId="0" fontId="4" fillId="0" borderId="0" xfId="0" applyNumberFormat="1" applyFont="1" applyFill="1"/>
  </cellXfs>
  <cellStyles count="5">
    <cellStyle name="Comma" xfId="1" builtinId="3"/>
    <cellStyle name="Normal" xfId="0" builtinId="0"/>
    <cellStyle name="Normal 2" xfId="4"/>
    <cellStyle name="Normal 2 2" xfId="2"/>
    <cellStyle name="Normal_Big 10" xfId="3"/>
  </cellStyles>
  <dxfs count="0"/>
  <tableStyles count="0" defaultTableStyle="TableStyleMedium9"/>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4" Type="http://schemas.openxmlformats.org/officeDocument/2006/relationships/styles" Target="styles.xml"/><Relationship Id="rId5" Type="http://schemas.openxmlformats.org/officeDocument/2006/relationships/sharedStrings" Target="sharedStrings.xml"/><Relationship Id="rId6"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2.vml"/><Relationship Id="rId2" Type="http://schemas.openxmlformats.org/officeDocument/2006/relationships/comments" Target="../comments2.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T49"/>
  <sheetViews>
    <sheetView tabSelected="1" topLeftCell="DN1" workbookViewId="0">
      <selection activeCell="DO6" sqref="DO6:DP6"/>
    </sheetView>
  </sheetViews>
  <sheetFormatPr baseColWidth="10" defaultRowHeight="15"/>
  <cols>
    <col min="1" max="1" width="14.7109375" style="8" customWidth="1"/>
    <col min="2" max="2" width="13.7109375" style="8" customWidth="1"/>
    <col min="3" max="3" width="17.28515625" style="8" customWidth="1"/>
    <col min="4" max="4" width="10.7109375" style="8"/>
    <col min="5" max="5" width="16.140625" style="8" customWidth="1"/>
    <col min="6" max="7" width="10.7109375" style="8"/>
    <col min="8" max="8" width="13.140625" style="8" customWidth="1"/>
    <col min="9" max="10" width="10.7109375" style="8"/>
    <col min="11" max="11" width="14.7109375" style="8" customWidth="1"/>
    <col min="12" max="12" width="13.7109375" style="8" customWidth="1"/>
    <col min="13" max="13" width="17.28515625" style="8" customWidth="1"/>
    <col min="14" max="17" width="10.7109375" style="8"/>
    <col min="18" max="18" width="13.140625" style="8" customWidth="1"/>
    <col min="19" max="20" width="10.7109375" style="8"/>
    <col min="21" max="21" width="14.7109375" style="8" customWidth="1"/>
    <col min="22" max="22" width="13.7109375" style="8" customWidth="1"/>
    <col min="23" max="23" width="17.28515625" style="8" customWidth="1"/>
    <col min="24" max="27" width="10.7109375" style="8"/>
    <col min="28" max="28" width="13.140625" style="8" customWidth="1"/>
    <col min="29" max="30" width="10.7109375" style="8"/>
    <col min="31" max="31" width="14.7109375" style="8" customWidth="1"/>
    <col min="32" max="32" width="13.7109375" style="8" customWidth="1"/>
    <col min="33" max="33" width="17.28515625" style="8" customWidth="1"/>
    <col min="34" max="35" width="10.7109375" style="8"/>
    <col min="36" max="36" width="15.42578125" style="8" customWidth="1"/>
    <col min="37" max="38" width="10.7109375" style="8"/>
    <col min="39" max="39" width="13.140625" style="8" customWidth="1"/>
    <col min="40" max="40" width="10.7109375" style="8"/>
    <col min="41" max="41" width="10.85546875" style="8" customWidth="1"/>
    <col min="42" max="42" width="14.7109375" style="8" customWidth="1"/>
    <col min="43" max="43" width="13.7109375" style="8" customWidth="1"/>
    <col min="44" max="44" width="17.28515625" style="8" customWidth="1"/>
    <col min="45" max="46" width="10.7109375" style="8"/>
    <col min="47" max="47" width="15.42578125" style="8" customWidth="1"/>
    <col min="48" max="49" width="10.7109375" style="8"/>
    <col min="50" max="50" width="13.140625" style="8" customWidth="1"/>
    <col min="51" max="53" width="10.7109375" style="8"/>
    <col min="54" max="54" width="18.140625" style="8" customWidth="1"/>
    <col min="55" max="55" width="13.7109375" style="8" customWidth="1"/>
    <col min="56" max="56" width="17.28515625" style="8" customWidth="1"/>
    <col min="57" max="58" width="10.7109375" style="8"/>
    <col min="59" max="59" width="16.140625" style="8" customWidth="1"/>
    <col min="60" max="61" width="10.7109375" style="8"/>
    <col min="62" max="62" width="13.140625" style="8" customWidth="1"/>
    <col min="63" max="63" width="10.7109375" style="8"/>
    <col min="64" max="64" width="20" style="8" customWidth="1"/>
    <col min="65" max="65" width="10.7109375" style="8"/>
    <col min="66" max="66" width="27.5703125" style="8" customWidth="1"/>
    <col min="67" max="67" width="11.5703125" style="8" customWidth="1"/>
    <col min="68" max="68" width="17.28515625" style="8" customWidth="1"/>
    <col min="69" max="70" width="10.7109375" style="8"/>
    <col min="71" max="71" width="15.42578125" style="8" customWidth="1"/>
    <col min="72" max="72" width="16.85546875" style="8" customWidth="1"/>
    <col min="73" max="74" width="10.7109375" style="8"/>
    <col min="75" max="75" width="13.140625" style="8" customWidth="1"/>
    <col min="76" max="76" width="20" style="8" customWidth="1"/>
    <col min="77" max="77" width="10.7109375" style="8"/>
    <col min="78" max="78" width="16.140625" style="8" customWidth="1"/>
    <col min="79" max="79" width="13.7109375" style="8" customWidth="1"/>
    <col min="80" max="80" width="17.28515625" style="8" customWidth="1"/>
    <col min="81" max="82" width="10.7109375" style="8"/>
    <col min="83" max="83" width="15.42578125" style="8" customWidth="1"/>
    <col min="84" max="84" width="16.140625" style="8" customWidth="1"/>
    <col min="85" max="86" width="10.7109375" style="8"/>
    <col min="87" max="87" width="13.140625" style="8" customWidth="1"/>
    <col min="88" max="88" width="20" style="8" customWidth="1"/>
    <col min="89" max="89" width="10.7109375" style="8"/>
    <col min="90" max="90" width="27.5703125" style="8" customWidth="1"/>
    <col min="91" max="91" width="11.5703125" style="8" customWidth="1"/>
    <col min="92" max="92" width="17.28515625" style="8" customWidth="1"/>
    <col min="93" max="94" width="10.7109375" style="8"/>
    <col min="95" max="95" width="15.42578125" style="8" customWidth="1"/>
    <col min="96" max="96" width="16.85546875" style="8" customWidth="1"/>
    <col min="97" max="98" width="10.7109375" style="8"/>
    <col min="99" max="99" width="13.140625" style="8" customWidth="1"/>
    <col min="100" max="100" width="20" style="8" customWidth="1"/>
    <col min="101" max="101" width="10.7109375" style="8"/>
    <col min="102" max="102" width="27.5703125" style="8" customWidth="1"/>
    <col min="103" max="103" width="11.5703125" style="8" customWidth="1"/>
    <col min="104" max="104" width="17.28515625" style="8" customWidth="1"/>
    <col min="105" max="106" width="10.7109375" style="8"/>
    <col min="107" max="107" width="15.42578125" style="8" customWidth="1"/>
    <col min="108" max="108" width="16.85546875" style="8" customWidth="1"/>
    <col min="109" max="110" width="10.7109375" style="8"/>
    <col min="111" max="111" width="13.140625" style="8" customWidth="1"/>
    <col min="112" max="112" width="20" style="8" customWidth="1"/>
    <col min="113" max="113" width="10.7109375" style="8"/>
    <col min="114" max="114" width="27.5703125" style="8" customWidth="1"/>
    <col min="115" max="115" width="11.85546875" style="8" customWidth="1"/>
    <col min="116" max="116" width="17.28515625" style="8" customWidth="1"/>
    <col min="117" max="118" width="10.7109375" style="8"/>
    <col min="119" max="119" width="15.42578125" style="8" customWidth="1"/>
    <col min="120" max="120" width="16.85546875" style="8" customWidth="1"/>
    <col min="121" max="122" width="10.7109375" style="8"/>
    <col min="123" max="123" width="13.140625" style="8" customWidth="1"/>
    <col min="124" max="124" width="20" style="8" customWidth="1"/>
    <col min="125" max="16384" width="10.7109375" style="8"/>
  </cols>
  <sheetData>
    <row r="1" spans="1:124" s="63" customFormat="1" ht="17">
      <c r="A1" s="63">
        <v>1984</v>
      </c>
      <c r="B1" s="63" t="s">
        <v>208</v>
      </c>
      <c r="C1" s="63" t="s">
        <v>209</v>
      </c>
      <c r="D1" s="63" t="s">
        <v>128</v>
      </c>
      <c r="E1" s="63" t="s">
        <v>129</v>
      </c>
      <c r="F1" s="63" t="s">
        <v>210</v>
      </c>
      <c r="G1" s="63" t="s">
        <v>211</v>
      </c>
      <c r="H1" s="63" t="s">
        <v>222</v>
      </c>
      <c r="I1" s="63" t="s">
        <v>213</v>
      </c>
      <c r="K1" s="63">
        <v>1988</v>
      </c>
      <c r="L1" s="63" t="s">
        <v>130</v>
      </c>
      <c r="M1" s="63" t="s">
        <v>209</v>
      </c>
      <c r="N1" s="63" t="s">
        <v>128</v>
      </c>
      <c r="O1" s="63" t="s">
        <v>131</v>
      </c>
      <c r="P1" s="63" t="s">
        <v>210</v>
      </c>
      <c r="Q1" s="63" t="s">
        <v>211</v>
      </c>
      <c r="R1" s="63" t="s">
        <v>222</v>
      </c>
      <c r="S1" s="63" t="s">
        <v>213</v>
      </c>
      <c r="U1" s="64">
        <v>1992</v>
      </c>
      <c r="V1" s="63" t="s">
        <v>208</v>
      </c>
      <c r="W1" s="63" t="s">
        <v>209</v>
      </c>
      <c r="X1" s="63" t="s">
        <v>128</v>
      </c>
      <c r="Y1" s="63" t="s">
        <v>131</v>
      </c>
      <c r="Z1" s="63" t="s">
        <v>214</v>
      </c>
      <c r="AA1" s="63" t="s">
        <v>215</v>
      </c>
      <c r="AB1" s="63" t="s">
        <v>222</v>
      </c>
      <c r="AC1" s="63" t="s">
        <v>217</v>
      </c>
      <c r="AE1" s="65">
        <v>1996</v>
      </c>
      <c r="AF1" s="63" t="s">
        <v>208</v>
      </c>
      <c r="AG1" s="63" t="s">
        <v>209</v>
      </c>
      <c r="AH1" s="63" t="s">
        <v>128</v>
      </c>
      <c r="AI1" s="63" t="s">
        <v>131</v>
      </c>
      <c r="AJ1" s="63" t="s">
        <v>218</v>
      </c>
      <c r="AK1" s="63" t="s">
        <v>211</v>
      </c>
      <c r="AL1" s="63" t="s">
        <v>210</v>
      </c>
      <c r="AM1" s="63" t="s">
        <v>222</v>
      </c>
      <c r="AN1" s="63" t="s">
        <v>213</v>
      </c>
      <c r="AP1" s="65">
        <v>2000</v>
      </c>
      <c r="AQ1" s="63" t="s">
        <v>208</v>
      </c>
      <c r="AR1" s="63" t="s">
        <v>209</v>
      </c>
      <c r="AS1" s="63" t="s">
        <v>128</v>
      </c>
      <c r="AT1" s="63" t="s">
        <v>131</v>
      </c>
      <c r="AU1" s="63" t="s">
        <v>218</v>
      </c>
      <c r="AV1" s="63" t="s">
        <v>211</v>
      </c>
      <c r="AW1" s="63" t="s">
        <v>210</v>
      </c>
      <c r="AX1" s="63" t="s">
        <v>222</v>
      </c>
      <c r="AY1" s="63" t="s">
        <v>213</v>
      </c>
      <c r="AZ1" s="66"/>
      <c r="BB1" s="65">
        <v>2004</v>
      </c>
      <c r="BC1" s="63" t="s">
        <v>208</v>
      </c>
      <c r="BD1" s="67" t="s">
        <v>209</v>
      </c>
      <c r="BE1" s="63" t="s">
        <v>128</v>
      </c>
      <c r="BF1" s="63" t="s">
        <v>131</v>
      </c>
      <c r="BG1" s="63" t="s">
        <v>221</v>
      </c>
      <c r="BH1" s="63" t="s">
        <v>215</v>
      </c>
      <c r="BI1" s="63" t="s">
        <v>210</v>
      </c>
      <c r="BJ1" s="63" t="s">
        <v>222</v>
      </c>
      <c r="BK1" s="63" t="s">
        <v>217</v>
      </c>
      <c r="BL1" s="66" t="s">
        <v>220</v>
      </c>
      <c r="BN1" s="68">
        <v>2008</v>
      </c>
      <c r="BO1" s="69" t="s">
        <v>223</v>
      </c>
      <c r="BP1" s="69" t="s">
        <v>186</v>
      </c>
      <c r="BQ1" s="69" t="s">
        <v>132</v>
      </c>
      <c r="BR1" s="69" t="s">
        <v>133</v>
      </c>
      <c r="BS1" s="69" t="s">
        <v>134</v>
      </c>
      <c r="BT1" s="69" t="s">
        <v>225</v>
      </c>
      <c r="BU1" s="69" t="s">
        <v>226</v>
      </c>
      <c r="BV1" s="69" t="s">
        <v>217</v>
      </c>
      <c r="BW1" s="63" t="s">
        <v>135</v>
      </c>
      <c r="BX1" s="66" t="s">
        <v>220</v>
      </c>
      <c r="BZ1" s="65">
        <v>2010</v>
      </c>
      <c r="CA1" s="63" t="s">
        <v>136</v>
      </c>
      <c r="CB1" s="63" t="s">
        <v>186</v>
      </c>
      <c r="CC1" s="63" t="s">
        <v>137</v>
      </c>
      <c r="CD1" s="63" t="s">
        <v>138</v>
      </c>
      <c r="CE1" s="63" t="s">
        <v>221</v>
      </c>
      <c r="CF1" s="63" t="s">
        <v>227</v>
      </c>
      <c r="CG1" s="63" t="s">
        <v>139</v>
      </c>
      <c r="CH1" s="63" t="s">
        <v>217</v>
      </c>
      <c r="CI1" s="63" t="s">
        <v>135</v>
      </c>
      <c r="CJ1" s="63" t="s">
        <v>140</v>
      </c>
      <c r="CL1" s="68">
        <v>2011</v>
      </c>
      <c r="CM1" s="70" t="s">
        <v>223</v>
      </c>
      <c r="CN1" s="70" t="s">
        <v>186</v>
      </c>
      <c r="CO1" s="70" t="s">
        <v>141</v>
      </c>
      <c r="CP1" s="70" t="s">
        <v>133</v>
      </c>
      <c r="CQ1" s="70" t="s">
        <v>134</v>
      </c>
      <c r="CR1" s="70" t="s">
        <v>225</v>
      </c>
      <c r="CS1" s="63" t="s">
        <v>226</v>
      </c>
      <c r="CT1" s="70" t="s">
        <v>217</v>
      </c>
      <c r="CU1" s="63" t="s">
        <v>135</v>
      </c>
      <c r="CV1" s="70" t="s">
        <v>220</v>
      </c>
      <c r="CX1" s="71">
        <v>2012</v>
      </c>
      <c r="CY1" s="66" t="s">
        <v>223</v>
      </c>
      <c r="CZ1" s="66" t="s">
        <v>186</v>
      </c>
      <c r="DA1" s="63" t="s">
        <v>141</v>
      </c>
      <c r="DB1" s="63" t="s">
        <v>133</v>
      </c>
      <c r="DC1" s="66" t="s">
        <v>134</v>
      </c>
      <c r="DD1" s="66" t="s">
        <v>225</v>
      </c>
      <c r="DE1" s="66" t="s">
        <v>226</v>
      </c>
      <c r="DF1" s="66" t="s">
        <v>217</v>
      </c>
      <c r="DG1" s="66" t="s">
        <v>135</v>
      </c>
      <c r="DH1" s="66" t="s">
        <v>220</v>
      </c>
      <c r="DJ1" s="71">
        <v>2013</v>
      </c>
      <c r="DK1" s="66" t="s">
        <v>223</v>
      </c>
      <c r="DL1" s="66" t="s">
        <v>186</v>
      </c>
      <c r="DM1" s="63" t="s">
        <v>141</v>
      </c>
      <c r="DN1" s="63" t="s">
        <v>133</v>
      </c>
      <c r="DO1" s="66" t="s">
        <v>134</v>
      </c>
      <c r="DP1" s="66" t="s">
        <v>225</v>
      </c>
      <c r="DQ1" s="66" t="s">
        <v>226</v>
      </c>
      <c r="DR1" s="66" t="s">
        <v>217</v>
      </c>
      <c r="DS1" s="66" t="s">
        <v>135</v>
      </c>
      <c r="DT1" s="66" t="s">
        <v>220</v>
      </c>
    </row>
    <row r="2" spans="1:124" s="5" customFormat="1">
      <c r="A2" s="5" t="s">
        <v>233</v>
      </c>
      <c r="B2" s="5">
        <f>C2/C33*100</f>
        <v>46.63768279600248</v>
      </c>
      <c r="C2" s="5">
        <f>SUM(D2:I2)</f>
        <v>9086</v>
      </c>
      <c r="D2" s="9">
        <v>8874.7000000000007</v>
      </c>
      <c r="E2" s="72">
        <v>211.3</v>
      </c>
      <c r="K2" s="5" t="s">
        <v>142</v>
      </c>
      <c r="L2" s="5">
        <f>M2/M35*100</f>
        <v>40.759921217670744</v>
      </c>
      <c r="M2" s="5">
        <f>SUM(N2:S2)</f>
        <v>9436.9</v>
      </c>
      <c r="N2" s="9">
        <v>9017.9</v>
      </c>
      <c r="O2" s="72">
        <v>419</v>
      </c>
      <c r="U2" s="5" t="s">
        <v>142</v>
      </c>
      <c r="V2" s="5">
        <f>W2/W34*100</f>
        <v>39.787889565109666</v>
      </c>
      <c r="W2" s="5">
        <f t="shared" ref="W2:W33" si="0">SUM(X2:AC2)</f>
        <v>9956.7999999999993</v>
      </c>
      <c r="X2" s="9">
        <v>9161</v>
      </c>
      <c r="Y2" s="72">
        <v>795.8</v>
      </c>
      <c r="AE2" s="5" t="s">
        <v>143</v>
      </c>
      <c r="AF2" s="5">
        <f>AG2/AG30*100</f>
        <v>34.609151527929434</v>
      </c>
      <c r="AG2" s="5">
        <f>SUM(AH2:AN2)</f>
        <v>10998.2</v>
      </c>
      <c r="AH2" s="5">
        <v>9851</v>
      </c>
      <c r="AI2" s="72">
        <v>1071.5999999999999</v>
      </c>
      <c r="AJ2" s="9">
        <v>75.599999999999994</v>
      </c>
      <c r="AP2" s="5" t="s">
        <v>142</v>
      </c>
      <c r="AQ2" s="5">
        <f>AR2/AR27*100</f>
        <v>33.518552400055114</v>
      </c>
      <c r="AR2" s="5">
        <f>SUM(AS2:AZ2)</f>
        <v>14839.3</v>
      </c>
      <c r="AS2" s="5">
        <v>12739.6</v>
      </c>
      <c r="AT2" s="72">
        <v>1478.3</v>
      </c>
      <c r="AU2" s="5">
        <v>316.39999999999998</v>
      </c>
      <c r="AV2" s="5">
        <v>305</v>
      </c>
      <c r="BB2" s="5" t="s">
        <v>234</v>
      </c>
      <c r="BC2" s="5">
        <f>BD2/BD31*100</f>
        <v>30.932020517207796</v>
      </c>
      <c r="BD2" s="5">
        <f>SUM(BE2:BL2)</f>
        <v>16197.800000000001</v>
      </c>
      <c r="BE2" s="9">
        <v>9776.5</v>
      </c>
      <c r="BF2" s="72">
        <v>3204</v>
      </c>
      <c r="BG2" s="5">
        <v>940.6</v>
      </c>
      <c r="BH2" s="5">
        <v>856.7</v>
      </c>
      <c r="BI2" s="5">
        <v>981.9</v>
      </c>
      <c r="BJ2" s="5">
        <v>438.1</v>
      </c>
      <c r="BN2" s="8" t="s">
        <v>144</v>
      </c>
      <c r="BO2" s="8">
        <f>BP2/BP18*100</f>
        <v>26.795740769442062</v>
      </c>
      <c r="BP2" s="8">
        <f t="shared" ref="BP2:BP16" si="1">SUM(BQ2:BX2)</f>
        <v>17461.900000000001</v>
      </c>
      <c r="BQ2" s="8">
        <v>10219.200000000001</v>
      </c>
      <c r="BR2" s="8">
        <v>4553</v>
      </c>
      <c r="BS2" s="8">
        <v>1257.9000000000001</v>
      </c>
      <c r="BT2" s="8">
        <v>1380.1</v>
      </c>
      <c r="BU2" s="8">
        <v>51.7</v>
      </c>
      <c r="BV2" s="8"/>
      <c r="BW2" s="8"/>
      <c r="BX2" s="8"/>
      <c r="BZ2" s="5" t="s">
        <v>145</v>
      </c>
      <c r="CA2" s="5">
        <f>CB2/CB17*100</f>
        <v>25.426461027977727</v>
      </c>
      <c r="CB2" s="5">
        <f>SUM(CC2:CJ2)</f>
        <v>17287.400000000001</v>
      </c>
      <c r="CC2" s="5">
        <v>9015.7999999999993</v>
      </c>
      <c r="CD2" s="72">
        <v>4987</v>
      </c>
      <c r="CE2" s="5">
        <v>1506.5</v>
      </c>
      <c r="CF2" s="5">
        <v>1718.9</v>
      </c>
      <c r="CG2" s="5">
        <v>59.2</v>
      </c>
      <c r="CL2" s="8" t="s">
        <v>237</v>
      </c>
      <c r="CM2" s="8">
        <f>CN2/CN20*100</f>
        <v>27.812125297101709</v>
      </c>
      <c r="CN2" s="8">
        <f>SUM(CO2:CV2)</f>
        <v>19599.900000000001</v>
      </c>
      <c r="CO2" s="8">
        <v>8794.7000000000007</v>
      </c>
      <c r="CP2" s="8">
        <v>5319</v>
      </c>
      <c r="CQ2" s="8">
        <v>1610.4</v>
      </c>
      <c r="CR2" s="8">
        <v>1874.2</v>
      </c>
      <c r="CS2" s="8">
        <v>1820.9</v>
      </c>
      <c r="CT2" s="8">
        <v>160.5</v>
      </c>
      <c r="CU2" s="8"/>
      <c r="CV2" s="8">
        <v>20.2</v>
      </c>
      <c r="CX2" s="10" t="s">
        <v>237</v>
      </c>
      <c r="CY2" s="8">
        <f>CZ2/CZ20*100</f>
        <v>27.336513783880196</v>
      </c>
      <c r="CZ2" s="10">
        <f>SUM(DA2:DH2)</f>
        <v>19694.399999999998</v>
      </c>
      <c r="DA2" s="5">
        <v>8357.2000000000007</v>
      </c>
      <c r="DB2" s="5">
        <v>5680</v>
      </c>
      <c r="DC2" s="10">
        <v>1697.4</v>
      </c>
      <c r="DD2" s="10">
        <v>1937.5</v>
      </c>
      <c r="DE2" s="10">
        <v>1865.1</v>
      </c>
      <c r="DF2" s="10">
        <v>157.19999999999999</v>
      </c>
      <c r="DG2" s="10"/>
      <c r="DH2" s="8"/>
      <c r="DJ2" s="10" t="s">
        <v>237</v>
      </c>
      <c r="DK2" s="8">
        <f>DL2/DL19*100</f>
        <v>27.866976838187522</v>
      </c>
      <c r="DL2" s="10">
        <f>SUM(DM2:DT2)</f>
        <v>20437.3</v>
      </c>
      <c r="DM2" s="5">
        <v>7996.3</v>
      </c>
      <c r="DN2" s="5">
        <v>5946</v>
      </c>
      <c r="DO2" s="10">
        <v>1821.5</v>
      </c>
      <c r="DP2" s="10">
        <v>2103.3000000000002</v>
      </c>
      <c r="DQ2" s="10">
        <v>2147.5</v>
      </c>
      <c r="DR2" s="10">
        <v>422.7</v>
      </c>
      <c r="DS2" s="10"/>
      <c r="DT2" s="8"/>
    </row>
    <row r="3" spans="1:124" s="5" customFormat="1">
      <c r="A3" s="5" t="s">
        <v>146</v>
      </c>
      <c r="B3" s="5">
        <f>C3/C33*100</f>
        <v>7.6085226951919953</v>
      </c>
      <c r="C3" s="5">
        <f t="shared" ref="C3:C33" si="2">SUM(D3:I3)</f>
        <v>1482.3</v>
      </c>
      <c r="D3" s="9">
        <v>1482.3</v>
      </c>
      <c r="K3" s="5" t="s">
        <v>146</v>
      </c>
      <c r="L3" s="5">
        <f>M3/M35*100</f>
        <v>8.2583231112109328</v>
      </c>
      <c r="M3" s="5">
        <f>SUM(N3:S3)</f>
        <v>1912</v>
      </c>
      <c r="N3" s="9">
        <v>1912</v>
      </c>
      <c r="U3" s="5" t="s">
        <v>146</v>
      </c>
      <c r="V3" s="5">
        <f>W3/W34*100</f>
        <v>7.9017930284878535</v>
      </c>
      <c r="W3" s="5">
        <f t="shared" si="0"/>
        <v>1977.4</v>
      </c>
      <c r="X3" s="9">
        <v>1977.4</v>
      </c>
      <c r="AE3" s="5" t="s">
        <v>146</v>
      </c>
      <c r="AF3" s="5">
        <f>AG3/AG30*100</f>
        <v>7.7272856005513191</v>
      </c>
      <c r="AG3" s="5">
        <f t="shared" ref="AG3:AG30" si="3">SUM(AH3:AN3)</f>
        <v>2455.6</v>
      </c>
      <c r="AH3" s="9">
        <v>2449.1</v>
      </c>
      <c r="AJ3" s="9">
        <v>6.5</v>
      </c>
      <c r="AP3" s="5" t="s">
        <v>147</v>
      </c>
      <c r="AQ3" s="5">
        <f>AR3/AR27*100</f>
        <v>14.039831134421608</v>
      </c>
      <c r="AR3" s="5">
        <f t="shared" ref="AR3:AR26" si="4">SUM(AS3:AZ3)</f>
        <v>6215.7</v>
      </c>
      <c r="AS3" s="8">
        <v>4428.5</v>
      </c>
      <c r="AT3" s="8">
        <v>1617.2</v>
      </c>
      <c r="AU3" s="9">
        <v>170</v>
      </c>
      <c r="BB3" s="5" t="s">
        <v>147</v>
      </c>
      <c r="BC3" s="5">
        <f>BD3/BD31*100</f>
        <v>14.222259566358195</v>
      </c>
      <c r="BD3" s="5">
        <f t="shared" ref="BD3:BD30" si="5">SUM(BE3:BL3)</f>
        <v>7447.6</v>
      </c>
      <c r="BE3" s="8">
        <v>4236.6000000000004</v>
      </c>
      <c r="BF3" s="72">
        <v>2833</v>
      </c>
      <c r="BG3" s="9">
        <v>378</v>
      </c>
      <c r="BN3" s="8" t="s">
        <v>235</v>
      </c>
      <c r="BO3" s="8">
        <f>BP3/BP18*100</f>
        <v>15.602907619996101</v>
      </c>
      <c r="BP3" s="8">
        <f t="shared" si="1"/>
        <v>10167.9</v>
      </c>
      <c r="BQ3" s="8">
        <v>514.20000000000005</v>
      </c>
      <c r="BR3" s="8">
        <v>6335</v>
      </c>
      <c r="BS3" s="8">
        <v>695</v>
      </c>
      <c r="BT3" s="8">
        <v>1600.2</v>
      </c>
      <c r="BU3" s="8">
        <v>483</v>
      </c>
      <c r="BV3" s="8">
        <v>241.3</v>
      </c>
      <c r="BW3" s="8">
        <v>299.2</v>
      </c>
      <c r="BX3" s="8"/>
      <c r="BZ3" s="5" t="s">
        <v>235</v>
      </c>
      <c r="CA3" s="5">
        <f>CB3/CB17*100</f>
        <v>15.704708647473591</v>
      </c>
      <c r="CB3" s="5">
        <f t="shared" ref="CB3:CB17" si="6">SUM(CC3:CJ3)</f>
        <v>10677.6</v>
      </c>
      <c r="CD3" s="72">
        <v>6968</v>
      </c>
      <c r="CE3" s="5">
        <v>848</v>
      </c>
      <c r="CF3" s="5">
        <v>1765.8</v>
      </c>
      <c r="CG3" s="5">
        <v>606.20000000000005</v>
      </c>
      <c r="CH3" s="5">
        <v>204.4</v>
      </c>
      <c r="CI3" s="5">
        <v>285.2</v>
      </c>
      <c r="CL3" s="8" t="s">
        <v>235</v>
      </c>
      <c r="CM3" s="8">
        <f>CN3/CN20*100</f>
        <v>16.441306892759584</v>
      </c>
      <c r="CN3" s="8">
        <f t="shared" ref="CN3:CN20" si="7">SUM(CO3:CV3)</f>
        <v>11586.599999999999</v>
      </c>
      <c r="CO3" s="8">
        <v>478</v>
      </c>
      <c r="CP3" s="8">
        <v>7138</v>
      </c>
      <c r="CQ3" s="8">
        <v>926</v>
      </c>
      <c r="CR3" s="8">
        <v>1830.6</v>
      </c>
      <c r="CS3" s="8">
        <v>719.3</v>
      </c>
      <c r="CT3" s="8">
        <v>220.8</v>
      </c>
      <c r="CU3" s="8">
        <v>273.89999999999998</v>
      </c>
      <c r="CV3" s="8"/>
      <c r="CX3" s="10" t="s">
        <v>235</v>
      </c>
      <c r="CY3" s="8">
        <f>CZ3/CZ20*100</f>
        <v>16.363265379773281</v>
      </c>
      <c r="CZ3" s="10">
        <f t="shared" ref="CZ3:CZ20" si="8">SUM(DA3:DH3)</f>
        <v>11788.8</v>
      </c>
      <c r="DA3" s="5">
        <v>477</v>
      </c>
      <c r="DB3" s="5">
        <v>7280</v>
      </c>
      <c r="DC3" s="10">
        <v>998</v>
      </c>
      <c r="DD3" s="10">
        <v>1838.5</v>
      </c>
      <c r="DE3" s="6">
        <v>743.4</v>
      </c>
      <c r="DF3" s="10">
        <v>225.1</v>
      </c>
      <c r="DG3" s="10">
        <v>226.8</v>
      </c>
      <c r="DH3" s="8"/>
      <c r="DJ3" s="10" t="s">
        <v>235</v>
      </c>
      <c r="DK3" s="8">
        <f>DL3/DL19*100</f>
        <v>16.233022265969886</v>
      </c>
      <c r="DL3" s="10">
        <f t="shared" ref="DL3:DL19" si="9">SUM(DM3:DT3)</f>
        <v>11905.1</v>
      </c>
      <c r="DM3" s="5">
        <v>498</v>
      </c>
      <c r="DN3" s="5">
        <v>7270</v>
      </c>
      <c r="DO3" s="10">
        <v>1159</v>
      </c>
      <c r="DP3" s="10">
        <v>1771.6</v>
      </c>
      <c r="DQ3" s="6">
        <v>743.4</v>
      </c>
      <c r="DR3" s="10">
        <v>224.5</v>
      </c>
      <c r="DS3" s="10">
        <v>238.6</v>
      </c>
      <c r="DT3" s="8"/>
    </row>
    <row r="4" spans="1:124" s="5" customFormat="1">
      <c r="A4" s="5" t="s">
        <v>148</v>
      </c>
      <c r="B4" s="5">
        <f>C4/C33*100</f>
        <v>5.4516710210911539</v>
      </c>
      <c r="C4" s="5">
        <f t="shared" si="2"/>
        <v>1062.0999999999999</v>
      </c>
      <c r="F4" s="5">
        <v>810.9</v>
      </c>
      <c r="I4" s="5">
        <v>251.2</v>
      </c>
      <c r="K4" s="5" t="s">
        <v>148</v>
      </c>
      <c r="L4" s="5">
        <f>M4/M35*100</f>
        <v>5.4348577253330106</v>
      </c>
      <c r="M4" s="5">
        <f>SUM(N4:S4)</f>
        <v>1258.3</v>
      </c>
      <c r="P4" s="6">
        <v>982.3</v>
      </c>
      <c r="S4" s="5">
        <v>276</v>
      </c>
      <c r="U4" s="5" t="s">
        <v>231</v>
      </c>
      <c r="V4" s="5">
        <f>W4/W34*100</f>
        <v>5.30835534491922</v>
      </c>
      <c r="W4" s="5">
        <f t="shared" si="0"/>
        <v>1328.4</v>
      </c>
      <c r="Z4" s="6">
        <v>1058.2</v>
      </c>
      <c r="AB4" s="7"/>
      <c r="AC4" s="5">
        <v>270.2</v>
      </c>
      <c r="AE4" s="5" t="s">
        <v>149</v>
      </c>
      <c r="AF4" s="5">
        <f>AG4/AG30*100</f>
        <v>7.9016183999773437</v>
      </c>
      <c r="AG4" s="5">
        <f t="shared" si="3"/>
        <v>2511.0000000000005</v>
      </c>
      <c r="AI4" s="5">
        <v>1102</v>
      </c>
      <c r="AK4" s="5">
        <v>953.3</v>
      </c>
      <c r="AL4" s="5">
        <v>169.4</v>
      </c>
      <c r="AM4" s="5">
        <v>208.4</v>
      </c>
      <c r="AN4" s="5">
        <v>77.900000000000006</v>
      </c>
      <c r="AP4" s="5" t="s">
        <v>149</v>
      </c>
      <c r="AQ4" s="5">
        <f>AR4/AR27*100</f>
        <v>7.51266604776393</v>
      </c>
      <c r="AR4" s="5">
        <f t="shared" si="4"/>
        <v>3325.9999999999995</v>
      </c>
      <c r="AT4" s="72">
        <v>1639.1</v>
      </c>
      <c r="AU4" s="5">
        <v>111.5</v>
      </c>
      <c r="AV4" s="5">
        <v>980.3</v>
      </c>
      <c r="AW4" s="5">
        <v>151.30000000000001</v>
      </c>
      <c r="AX4" s="5">
        <v>302.7</v>
      </c>
      <c r="AY4" s="5">
        <v>141.1</v>
      </c>
      <c r="BB4" s="5" t="s">
        <v>235</v>
      </c>
      <c r="BC4" s="5">
        <f>BD4/BD31*100</f>
        <v>9.709390480046137</v>
      </c>
      <c r="BD4" s="5">
        <f t="shared" si="5"/>
        <v>5084.4000000000005</v>
      </c>
      <c r="BF4" s="8">
        <v>2783.5</v>
      </c>
      <c r="BG4" s="5">
        <v>378.9</v>
      </c>
      <c r="BH4" s="5">
        <v>1253.0999999999999</v>
      </c>
      <c r="BI4" s="5">
        <v>185.6</v>
      </c>
      <c r="BJ4" s="5">
        <v>278.60000000000002</v>
      </c>
      <c r="BK4" s="5">
        <v>204.7</v>
      </c>
      <c r="BN4" s="8" t="s">
        <v>248</v>
      </c>
      <c r="BO4" s="8">
        <f>BP4/BP18*100</f>
        <v>14.632844934606174</v>
      </c>
      <c r="BP4" s="8">
        <f t="shared" si="1"/>
        <v>9535.7421600000016</v>
      </c>
      <c r="BQ4" s="8">
        <v>4336.6000000000004</v>
      </c>
      <c r="BR4" s="8">
        <v>4660</v>
      </c>
      <c r="BS4" s="8">
        <v>505.6</v>
      </c>
      <c r="BT4" s="8">
        <v>33.542160000000003</v>
      </c>
      <c r="BU4" s="8"/>
      <c r="BV4" s="8"/>
      <c r="BW4" s="8"/>
      <c r="BX4" s="8"/>
      <c r="BZ4" s="5" t="s">
        <v>248</v>
      </c>
      <c r="CA4" s="5">
        <f>CB4/CB17*100</f>
        <v>14.297639351785124</v>
      </c>
      <c r="CB4" s="5">
        <f t="shared" si="6"/>
        <v>9720.9364000000023</v>
      </c>
      <c r="CC4" s="8">
        <v>3941.2</v>
      </c>
      <c r="CD4" s="72">
        <v>5045</v>
      </c>
      <c r="CE4" s="5">
        <v>572.20000000000005</v>
      </c>
      <c r="CF4" s="73">
        <v>162.53639999999999</v>
      </c>
      <c r="CL4" s="8" t="s">
        <v>248</v>
      </c>
      <c r="CM4" s="8">
        <f>CN4/CN20*100</f>
        <v>14.646009067366702</v>
      </c>
      <c r="CN4" s="8">
        <f t="shared" si="7"/>
        <v>10321.408739999999</v>
      </c>
      <c r="CO4" s="8">
        <v>3888.3</v>
      </c>
      <c r="CP4" s="8">
        <v>5500</v>
      </c>
      <c r="CQ4" s="8">
        <v>644</v>
      </c>
      <c r="CR4" s="73">
        <v>289.10874000000001</v>
      </c>
      <c r="CS4" s="8"/>
      <c r="CT4" s="8"/>
      <c r="CU4" s="8"/>
      <c r="CV4" s="8"/>
      <c r="CX4" s="10" t="s">
        <v>248</v>
      </c>
      <c r="CY4" s="8">
        <f>CZ4/CZ20*100</f>
        <v>15.062403299081261</v>
      </c>
      <c r="CZ4" s="10">
        <f t="shared" si="8"/>
        <v>10851.60302</v>
      </c>
      <c r="DA4" s="5">
        <v>3815</v>
      </c>
      <c r="DB4" s="5">
        <v>5886</v>
      </c>
      <c r="DC4" s="10">
        <v>722.4</v>
      </c>
      <c r="DD4" s="74">
        <v>428.20301999999998</v>
      </c>
      <c r="DE4" s="10"/>
      <c r="DF4" s="10"/>
      <c r="DG4" s="10"/>
      <c r="DH4" s="8"/>
      <c r="DJ4" s="10" t="s">
        <v>248</v>
      </c>
      <c r="DK4" s="8">
        <f>DL4/DL19*100</f>
        <v>15.498830966324951</v>
      </c>
      <c r="DL4" s="10">
        <f t="shared" si="9"/>
        <v>11366.65308</v>
      </c>
      <c r="DM4" s="5">
        <v>3867</v>
      </c>
      <c r="DN4" s="5">
        <v>6177</v>
      </c>
      <c r="DO4" s="10">
        <v>795.3</v>
      </c>
      <c r="DP4" s="74">
        <v>527.35307999999998</v>
      </c>
      <c r="DQ4" s="10"/>
      <c r="DR4" s="10"/>
      <c r="DS4" s="10"/>
      <c r="DT4" s="8"/>
    </row>
    <row r="5" spans="1:124" s="5" customFormat="1">
      <c r="A5" s="5" t="s">
        <v>35</v>
      </c>
      <c r="B5" s="5">
        <f>C5/C33*100</f>
        <v>4.9850888764558228</v>
      </c>
      <c r="C5" s="5">
        <f t="shared" si="2"/>
        <v>971.2</v>
      </c>
      <c r="D5" s="9">
        <v>971.2</v>
      </c>
      <c r="K5" s="5" t="s">
        <v>35</v>
      </c>
      <c r="L5" s="5">
        <f>M5/M35*100</f>
        <v>4.6275980027988464</v>
      </c>
      <c r="M5" s="5">
        <f>SUM(N5:S5)</f>
        <v>1071.4000000000001</v>
      </c>
      <c r="N5" s="9">
        <v>1071.4000000000001</v>
      </c>
      <c r="U5" s="5" t="s">
        <v>36</v>
      </c>
      <c r="V5" s="5">
        <f>W5/W34*100</f>
        <v>5.0677930204957509</v>
      </c>
      <c r="W5" s="5">
        <f t="shared" si="0"/>
        <v>1268.2</v>
      </c>
      <c r="X5" s="9">
        <v>1268.2</v>
      </c>
      <c r="AE5" s="5" t="s">
        <v>36</v>
      </c>
      <c r="AF5" s="5">
        <f>AG5/AG30*100</f>
        <v>5.3306816286585494</v>
      </c>
      <c r="AG5" s="5">
        <f t="shared" si="3"/>
        <v>1694</v>
      </c>
      <c r="AH5" s="8">
        <v>1677.2</v>
      </c>
      <c r="AJ5" s="5">
        <v>16.8</v>
      </c>
      <c r="AP5" s="5" t="s">
        <v>37</v>
      </c>
      <c r="AQ5" s="5">
        <f>AR5/AR27*100</f>
        <v>3.6775019820698911</v>
      </c>
      <c r="AR5" s="5">
        <f>SUM(AS5:AZ5)</f>
        <v>1628.1000000000001</v>
      </c>
      <c r="AS5" s="9">
        <v>20.8</v>
      </c>
      <c r="AU5" s="5">
        <v>98.9</v>
      </c>
      <c r="AV5" s="5">
        <v>1190.4000000000001</v>
      </c>
      <c r="AW5" s="5">
        <v>151.30000000000001</v>
      </c>
      <c r="AY5" s="5">
        <v>166.7</v>
      </c>
      <c r="BB5" s="5" t="s">
        <v>241</v>
      </c>
      <c r="BC5" s="5">
        <f>BD5/BD31*100</f>
        <v>5.017969743611288</v>
      </c>
      <c r="BD5" s="5">
        <f t="shared" si="5"/>
        <v>2627.7000000000003</v>
      </c>
      <c r="BE5" s="9">
        <v>43.8</v>
      </c>
      <c r="BG5" s="5">
        <v>432.5</v>
      </c>
      <c r="BH5" s="5">
        <v>1574.5</v>
      </c>
      <c r="BI5" s="5">
        <v>349</v>
      </c>
      <c r="BK5" s="5">
        <v>227.9</v>
      </c>
      <c r="BN5" s="8" t="s">
        <v>241</v>
      </c>
      <c r="BO5" s="8">
        <f>BP5/BP18*100</f>
        <v>6.0500224808069154</v>
      </c>
      <c r="BP5" s="8">
        <f t="shared" si="1"/>
        <v>3942.6000000000004</v>
      </c>
      <c r="BQ5" s="8">
        <v>489.1</v>
      </c>
      <c r="BR5" s="8"/>
      <c r="BS5" s="8">
        <v>714.1</v>
      </c>
      <c r="BT5" s="8">
        <v>1977.6</v>
      </c>
      <c r="BU5" s="8">
        <v>475.4</v>
      </c>
      <c r="BV5" s="8">
        <v>286.39999999999998</v>
      </c>
      <c r="BW5" s="8"/>
      <c r="BX5" s="8"/>
      <c r="BZ5" s="5" t="s">
        <v>236</v>
      </c>
      <c r="CA5" s="5">
        <f>CB5/CB17*100</f>
        <v>7.3497789374288498</v>
      </c>
      <c r="CB5" s="5">
        <f t="shared" si="6"/>
        <v>4997.1000000000004</v>
      </c>
      <c r="CE5" s="5">
        <v>927.5</v>
      </c>
      <c r="CF5" s="5">
        <v>2333.5</v>
      </c>
      <c r="CG5" s="5">
        <v>1475</v>
      </c>
      <c r="CH5" s="5">
        <v>261.10000000000002</v>
      </c>
      <c r="CL5" s="8" t="s">
        <v>241</v>
      </c>
      <c r="CM5" s="8">
        <f>CN5/CN20*100</f>
        <v>8.0763418354677352</v>
      </c>
      <c r="CN5" s="8">
        <f t="shared" si="7"/>
        <v>5691.5999999999995</v>
      </c>
      <c r="CO5" s="8">
        <v>560.29999999999995</v>
      </c>
      <c r="CP5" s="8"/>
      <c r="CQ5" s="8">
        <v>976.6</v>
      </c>
      <c r="CR5" s="8">
        <v>2369.6999999999998</v>
      </c>
      <c r="CS5" s="8">
        <v>1589.3</v>
      </c>
      <c r="CT5" s="8">
        <v>195.7</v>
      </c>
      <c r="CU5" s="8"/>
      <c r="CV5" s="8"/>
      <c r="CX5" s="10" t="s">
        <v>241</v>
      </c>
      <c r="CY5" s="8">
        <f>CZ5/CZ20*100</f>
        <v>7.7219155436307947</v>
      </c>
      <c r="CZ5" s="10">
        <f t="shared" si="8"/>
        <v>5563.2</v>
      </c>
      <c r="DA5" s="5">
        <v>580.70000000000005</v>
      </c>
      <c r="DC5" s="10">
        <v>1096.0999999999999</v>
      </c>
      <c r="DD5" s="10">
        <v>2179.5</v>
      </c>
      <c r="DE5" s="10">
        <v>1515.5</v>
      </c>
      <c r="DF5" s="10">
        <v>191.4</v>
      </c>
      <c r="DG5" s="8"/>
      <c r="DH5" s="8"/>
      <c r="DJ5" s="10" t="s">
        <v>241</v>
      </c>
      <c r="DK5" s="8">
        <f>DL5/DL19*100</f>
        <v>7.5359860445995697</v>
      </c>
      <c r="DL5" s="10">
        <f t="shared" si="9"/>
        <v>5526.7999999999993</v>
      </c>
      <c r="DM5" s="5">
        <v>604.1</v>
      </c>
      <c r="DO5" s="10">
        <v>1104.0999999999999</v>
      </c>
      <c r="DP5" s="10">
        <v>2124.1</v>
      </c>
      <c r="DQ5" s="10">
        <v>1510.8</v>
      </c>
      <c r="DR5" s="10">
        <v>183.7</v>
      </c>
      <c r="DS5" s="8"/>
      <c r="DT5" s="8"/>
    </row>
    <row r="6" spans="1:124" s="5" customFormat="1">
      <c r="A6" s="5" t="s">
        <v>38</v>
      </c>
      <c r="B6" s="5">
        <f>C6/C33*100</f>
        <v>2.8154049101482896</v>
      </c>
      <c r="C6" s="5">
        <f t="shared" si="2"/>
        <v>548.5</v>
      </c>
      <c r="H6" s="5">
        <v>548.5</v>
      </c>
      <c r="K6" s="5" t="s">
        <v>38</v>
      </c>
      <c r="L6" s="5">
        <f>M6/M35*100</f>
        <v>3.2519306853717107</v>
      </c>
      <c r="M6" s="5">
        <f>SUM(P6:S6)</f>
        <v>752.9</v>
      </c>
      <c r="R6" s="5">
        <v>752.9</v>
      </c>
      <c r="U6" s="5" t="s">
        <v>39</v>
      </c>
      <c r="V6" s="5">
        <f>W6/W34*100</f>
        <v>3.2348040136345291</v>
      </c>
      <c r="W6" s="5">
        <f t="shared" si="0"/>
        <v>809.5</v>
      </c>
      <c r="AB6" s="5">
        <v>809.5</v>
      </c>
      <c r="AE6" s="5" t="s">
        <v>148</v>
      </c>
      <c r="AF6" s="5">
        <f>AG6/AG30*100</f>
        <v>3.9187118253651074</v>
      </c>
      <c r="AG6" s="5">
        <f t="shared" si="3"/>
        <v>1245.3</v>
      </c>
      <c r="AL6" s="6">
        <v>956.3</v>
      </c>
      <c r="AN6" s="5">
        <v>289</v>
      </c>
      <c r="AP6" s="5" t="s">
        <v>40</v>
      </c>
      <c r="AQ6" s="5">
        <f>AR6/AR27*100</f>
        <v>3.2953182492732407</v>
      </c>
      <c r="AR6" s="5">
        <f t="shared" si="4"/>
        <v>1458.9</v>
      </c>
      <c r="AS6" s="5">
        <v>1458.9</v>
      </c>
      <c r="BB6" s="5" t="s">
        <v>246</v>
      </c>
      <c r="BC6" s="5">
        <f>BD6/BD31*100</f>
        <v>4.1924309377494478</v>
      </c>
      <c r="BD6" s="5">
        <f t="shared" si="5"/>
        <v>2195.4</v>
      </c>
      <c r="BE6" s="5">
        <v>10.6</v>
      </c>
      <c r="BG6" s="5">
        <v>222.5</v>
      </c>
      <c r="BH6" s="5">
        <v>705.5</v>
      </c>
      <c r="BI6" s="5">
        <v>299.60000000000002</v>
      </c>
      <c r="BJ6" s="5">
        <f>881.1+76.1</f>
        <v>957.2</v>
      </c>
      <c r="BN6" s="8" t="s">
        <v>253</v>
      </c>
      <c r="BO6" s="8">
        <f>BP6/BP18*100</f>
        <v>5.0430664741347959</v>
      </c>
      <c r="BP6" s="8">
        <f t="shared" si="1"/>
        <v>3286.4</v>
      </c>
      <c r="BQ6" s="8">
        <v>368.4</v>
      </c>
      <c r="BR6" s="8">
        <v>40.6</v>
      </c>
      <c r="BS6" s="8">
        <v>438.1</v>
      </c>
      <c r="BT6" s="8">
        <v>836.4</v>
      </c>
      <c r="BU6" s="8">
        <v>342.9</v>
      </c>
      <c r="BV6" s="8"/>
      <c r="BW6" s="6">
        <f>1181.4+78.6</f>
        <v>1260</v>
      </c>
      <c r="BX6" s="8"/>
      <c r="BZ6" s="5" t="s">
        <v>246</v>
      </c>
      <c r="CA6" s="5">
        <f>CB6/CB17*100</f>
        <v>4.5089116308622765</v>
      </c>
      <c r="CB6" s="5">
        <f t="shared" si="6"/>
        <v>3065.6000000000004</v>
      </c>
      <c r="CD6" s="72">
        <v>59.6</v>
      </c>
      <c r="CE6" s="5">
        <v>644.29999999999995</v>
      </c>
      <c r="CF6" s="5">
        <v>982</v>
      </c>
      <c r="CG6" s="5">
        <v>344.9</v>
      </c>
      <c r="CI6" s="5">
        <f>1034.8</f>
        <v>1034.8</v>
      </c>
      <c r="CL6" s="8" t="s">
        <v>253</v>
      </c>
      <c r="CM6" s="8">
        <f>CN6/CN20*100</f>
        <v>5.3300223491432828</v>
      </c>
      <c r="CN6" s="8">
        <f t="shared" si="7"/>
        <v>3756.2</v>
      </c>
      <c r="CO6" s="8">
        <v>436.7</v>
      </c>
      <c r="CP6" s="8">
        <v>112.7</v>
      </c>
      <c r="CQ6" s="8">
        <v>698.2</v>
      </c>
      <c r="CR6" s="8">
        <v>1040.9000000000001</v>
      </c>
      <c r="CS6" s="8">
        <v>378.7</v>
      </c>
      <c r="CT6" s="8"/>
      <c r="CU6" s="8">
        <f>1018.4+70.6</f>
        <v>1089</v>
      </c>
      <c r="CV6" s="8"/>
      <c r="CX6" s="10" t="s">
        <v>253</v>
      </c>
      <c r="CY6" s="8">
        <f>CZ6/CZ20*100</f>
        <v>5.4163896380421503</v>
      </c>
      <c r="CZ6" s="10">
        <f t="shared" si="8"/>
        <v>3902.2000000000003</v>
      </c>
      <c r="DA6" s="5">
        <v>454.9</v>
      </c>
      <c r="DB6" s="5">
        <v>171.6</v>
      </c>
      <c r="DC6" s="10">
        <v>772.5</v>
      </c>
      <c r="DD6" s="10">
        <v>1086.3</v>
      </c>
      <c r="DE6" s="10">
        <v>389.5</v>
      </c>
      <c r="DF6" s="10"/>
      <c r="DG6" s="10">
        <f>960+67.4</f>
        <v>1027.4000000000001</v>
      </c>
      <c r="DH6" s="8"/>
      <c r="DJ6" s="10" t="s">
        <v>253</v>
      </c>
      <c r="DK6" s="8">
        <f>DL6/DL19*100</f>
        <v>5.3325132487551574</v>
      </c>
      <c r="DL6" s="10">
        <f t="shared" si="9"/>
        <v>3910.8</v>
      </c>
      <c r="DM6" s="5">
        <v>473.8</v>
      </c>
      <c r="DN6" s="5">
        <v>220.7</v>
      </c>
      <c r="DO6" s="10">
        <v>818.4</v>
      </c>
      <c r="DP6" s="10">
        <v>1090</v>
      </c>
      <c r="DQ6" s="10">
        <v>380.1</v>
      </c>
      <c r="DR6" s="10"/>
      <c r="DS6" s="10">
        <f>67.9+859.9</f>
        <v>927.8</v>
      </c>
      <c r="DT6" s="8"/>
    </row>
    <row r="7" spans="1:124" s="5" customFormat="1">
      <c r="A7" s="5" t="s">
        <v>41</v>
      </c>
      <c r="B7" s="5">
        <f>C7/C33*100</f>
        <v>2.0049173343736042</v>
      </c>
      <c r="C7" s="5">
        <f t="shared" si="2"/>
        <v>390.6</v>
      </c>
      <c r="H7" s="5">
        <v>390.6</v>
      </c>
      <c r="K7" s="5" t="s">
        <v>42</v>
      </c>
      <c r="L7" s="5">
        <f>M7/M35*100</f>
        <v>2.2952264128124948</v>
      </c>
      <c r="M7" s="5">
        <f>SUM(P7:S7)</f>
        <v>531.4</v>
      </c>
      <c r="R7" s="5">
        <v>531.4</v>
      </c>
      <c r="U7" s="5" t="s">
        <v>249</v>
      </c>
      <c r="V7" s="5">
        <f>W7/W34*100</f>
        <v>2.4307983712092449</v>
      </c>
      <c r="W7" s="5">
        <f t="shared" si="0"/>
        <v>608.29999999999995</v>
      </c>
      <c r="AB7" s="5">
        <f>494.3+114</f>
        <v>608.29999999999995</v>
      </c>
      <c r="AE7" s="5" t="s">
        <v>43</v>
      </c>
      <c r="AF7" s="5">
        <f>AG7/AG30*100</f>
        <v>2.6678582554762209</v>
      </c>
      <c r="AG7" s="5">
        <f t="shared" si="3"/>
        <v>847.8</v>
      </c>
      <c r="AJ7" s="9">
        <v>1.9</v>
      </c>
      <c r="AK7" s="7">
        <v>634.70000000000005</v>
      </c>
      <c r="AL7" s="5">
        <v>211.2</v>
      </c>
      <c r="AM7" s="7"/>
      <c r="AP7" s="5" t="s">
        <v>44</v>
      </c>
      <c r="AQ7" s="5">
        <f>AR7/AR27*100</f>
        <v>2.5133323846503086</v>
      </c>
      <c r="AR7" s="5">
        <f t="shared" si="4"/>
        <v>1112.7</v>
      </c>
      <c r="AW7" s="5">
        <v>233.2</v>
      </c>
      <c r="AX7" s="5">
        <f>850.1+29.4</f>
        <v>879.5</v>
      </c>
      <c r="BB7" s="5" t="s">
        <v>252</v>
      </c>
      <c r="BC7" s="5">
        <f>BD7/BD31*100</f>
        <v>3.6403530548564134</v>
      </c>
      <c r="BD7" s="5">
        <f t="shared" si="5"/>
        <v>1906.3</v>
      </c>
      <c r="BI7" s="5">
        <v>712.7</v>
      </c>
      <c r="BJ7" s="5">
        <v>1193.5999999999999</v>
      </c>
      <c r="BN7" s="8" t="s">
        <v>252</v>
      </c>
      <c r="BO7" s="8">
        <f>BP7/BP18*100</f>
        <v>3.6207142605042146</v>
      </c>
      <c r="BP7" s="8">
        <f t="shared" si="1"/>
        <v>2359.5</v>
      </c>
      <c r="BQ7" s="8"/>
      <c r="BR7" s="8"/>
      <c r="BS7" s="8"/>
      <c r="BT7" s="8"/>
      <c r="BU7" s="8">
        <v>1061.5</v>
      </c>
      <c r="BV7" s="8"/>
      <c r="BW7" s="8">
        <v>1298</v>
      </c>
      <c r="BX7" s="8"/>
      <c r="BZ7" s="5" t="s">
        <v>45</v>
      </c>
      <c r="CA7" s="5">
        <f>CB7/CB17*100</f>
        <v>3.3069666332302785</v>
      </c>
      <c r="CB7" s="5">
        <f t="shared" si="6"/>
        <v>2248.4</v>
      </c>
      <c r="CG7" s="5">
        <v>1691.8000000000002</v>
      </c>
      <c r="CH7" s="5">
        <v>161.19999999999999</v>
      </c>
      <c r="CI7" s="5">
        <v>395.4</v>
      </c>
      <c r="CL7" s="8" t="s">
        <v>231</v>
      </c>
      <c r="CM7" s="8">
        <f>CN7/CN20*100</f>
        <v>2.6041363652488556</v>
      </c>
      <c r="CN7" s="8">
        <f t="shared" si="7"/>
        <v>1835.1999999999998</v>
      </c>
      <c r="CO7" s="8"/>
      <c r="CP7" s="8"/>
      <c r="CQ7" s="8"/>
      <c r="CR7" s="8"/>
      <c r="CS7" s="8">
        <v>1498.3</v>
      </c>
      <c r="CT7" s="8">
        <v>336.9</v>
      </c>
      <c r="CU7" s="8"/>
      <c r="CV7" s="8"/>
      <c r="CX7" s="10" t="s">
        <v>231</v>
      </c>
      <c r="CY7" s="8">
        <f>CZ7/CZ20*100</f>
        <v>2.5857701442029422</v>
      </c>
      <c r="CZ7" s="10">
        <f t="shared" si="8"/>
        <v>1862.8999999999999</v>
      </c>
      <c r="DC7" s="10"/>
      <c r="DD7" s="10"/>
      <c r="DE7" s="10">
        <v>1537.1</v>
      </c>
      <c r="DF7" s="10">
        <v>325.8</v>
      </c>
      <c r="DG7" s="10"/>
      <c r="DH7" s="8"/>
      <c r="DJ7" s="10" t="s">
        <v>231</v>
      </c>
      <c r="DK7" s="8">
        <f>DL7/DL19*100</f>
        <v>2.5114953853130109</v>
      </c>
      <c r="DL7" s="10">
        <f t="shared" si="9"/>
        <v>1841.8999999999999</v>
      </c>
      <c r="DO7" s="10"/>
      <c r="DP7" s="10"/>
      <c r="DQ7" s="10">
        <v>1537.1</v>
      </c>
      <c r="DR7" s="10">
        <v>304.8</v>
      </c>
      <c r="DS7" s="10"/>
      <c r="DT7" s="8"/>
    </row>
    <row r="8" spans="1:124" s="5" customFormat="1">
      <c r="A8" s="5" t="s">
        <v>46</v>
      </c>
      <c r="B8" s="5">
        <f>C8/C33*100</f>
        <v>1.9643672910004566</v>
      </c>
      <c r="C8" s="5">
        <f t="shared" si="2"/>
        <v>382.7</v>
      </c>
      <c r="D8" s="9">
        <v>382.7</v>
      </c>
      <c r="K8" s="5" t="s">
        <v>46</v>
      </c>
      <c r="L8" s="5">
        <f>M8/M35*100</f>
        <v>2.2174806931462827</v>
      </c>
      <c r="M8" s="5">
        <f>SUM(N8:S8)</f>
        <v>513.4</v>
      </c>
      <c r="N8" s="9">
        <v>513.4</v>
      </c>
      <c r="U8" s="5" t="s">
        <v>235</v>
      </c>
      <c r="V8" s="5">
        <f>W8/W34*100</f>
        <v>3.4909509404708139</v>
      </c>
      <c r="W8" s="5">
        <f t="shared" si="0"/>
        <v>873.59999999999991</v>
      </c>
      <c r="Y8" s="5">
        <v>239.5</v>
      </c>
      <c r="Z8" s="5">
        <v>88.7</v>
      </c>
      <c r="AA8" s="5">
        <v>509.4</v>
      </c>
      <c r="AC8" s="5">
        <v>36</v>
      </c>
      <c r="AE8" s="5" t="s">
        <v>46</v>
      </c>
      <c r="AF8" s="5">
        <f>AG8/AG30*100</f>
        <v>1.9211222752633084</v>
      </c>
      <c r="AG8" s="5">
        <f t="shared" si="3"/>
        <v>610.5</v>
      </c>
      <c r="AH8" s="9">
        <v>608.70000000000005</v>
      </c>
      <c r="AJ8" s="9">
        <v>1.8</v>
      </c>
      <c r="AP8" s="5" t="s">
        <v>148</v>
      </c>
      <c r="AQ8" s="5">
        <f>AR8/AR27*100</f>
        <v>3.4701469781057517</v>
      </c>
      <c r="AR8" s="5">
        <f t="shared" si="4"/>
        <v>1536.3000000000002</v>
      </c>
      <c r="AW8" s="6">
        <v>1255.9000000000001</v>
      </c>
      <c r="AY8" s="5">
        <v>280.39999999999998</v>
      </c>
      <c r="BB8" s="5" t="s">
        <v>231</v>
      </c>
      <c r="BC8" s="5">
        <f>BD8/BD31*100</f>
        <v>2.9530724251324338</v>
      </c>
      <c r="BD8" s="5">
        <f t="shared" si="5"/>
        <v>1546.4</v>
      </c>
      <c r="BI8" s="6">
        <v>1230.3</v>
      </c>
      <c r="BK8" s="8">
        <v>316.10000000000002</v>
      </c>
      <c r="BL8" s="8"/>
      <c r="BN8" s="8" t="s">
        <v>258</v>
      </c>
      <c r="BO8" s="8">
        <f>BP8/BP18*100</f>
        <v>3.2378500062148303</v>
      </c>
      <c r="BP8" s="8">
        <f t="shared" si="1"/>
        <v>2110</v>
      </c>
      <c r="BQ8" s="8"/>
      <c r="BR8" s="8"/>
      <c r="BS8" s="8"/>
      <c r="BT8" s="8"/>
      <c r="BU8" s="8">
        <v>1515.8</v>
      </c>
      <c r="BV8" s="8">
        <v>172.1</v>
      </c>
      <c r="BW8" s="8">
        <v>422.1</v>
      </c>
      <c r="BX8" s="8"/>
      <c r="BZ8" s="5" t="s">
        <v>231</v>
      </c>
      <c r="CA8" s="5">
        <f>CB8/CB17*100</f>
        <v>2.6327478533544739</v>
      </c>
      <c r="CB8" s="5">
        <f t="shared" si="6"/>
        <v>1790</v>
      </c>
      <c r="CG8" s="6">
        <v>1425.3</v>
      </c>
      <c r="CH8" s="5">
        <v>364.7</v>
      </c>
      <c r="CL8" s="8" t="s">
        <v>152</v>
      </c>
      <c r="CM8" s="8">
        <f>CN8/CN20*100</f>
        <v>2.5570257902018514</v>
      </c>
      <c r="CN8" s="8">
        <f t="shared" si="7"/>
        <v>1801.9999999999998</v>
      </c>
      <c r="CO8" s="8">
        <v>1272.5999999999999</v>
      </c>
      <c r="CP8" s="8">
        <v>356.3</v>
      </c>
      <c r="CQ8" s="8">
        <v>102.5</v>
      </c>
      <c r="CR8" s="8">
        <v>70.599999999999994</v>
      </c>
      <c r="CS8" s="8"/>
      <c r="CT8" s="8"/>
      <c r="CU8" s="8"/>
      <c r="CV8" s="8"/>
      <c r="CX8" s="10" t="s">
        <v>152</v>
      </c>
      <c r="CY8" s="8">
        <f>CZ8/CZ20*100</f>
        <v>2.4135150178431881</v>
      </c>
      <c r="CZ8" s="10">
        <f t="shared" si="8"/>
        <v>1738.7999999999997</v>
      </c>
      <c r="DA8" s="5">
        <v>1188.0999999999999</v>
      </c>
      <c r="DB8" s="5">
        <v>362.1</v>
      </c>
      <c r="DC8" s="10">
        <v>110.1</v>
      </c>
      <c r="DD8" s="10">
        <v>78.5</v>
      </c>
      <c r="DE8" s="10"/>
      <c r="DF8" s="10"/>
      <c r="DG8" s="10"/>
      <c r="DH8" s="8"/>
      <c r="DJ8" s="10" t="s">
        <v>152</v>
      </c>
      <c r="DK8" s="8">
        <f>DL8/DL19*100</f>
        <v>2.2751947445210323</v>
      </c>
      <c r="DL8" s="10">
        <f t="shared" si="9"/>
        <v>1668.6</v>
      </c>
      <c r="DM8" s="5">
        <v>1093.5999999999999</v>
      </c>
      <c r="DN8" s="5">
        <v>375.3</v>
      </c>
      <c r="DO8" s="10">
        <v>117.7</v>
      </c>
      <c r="DP8" s="10">
        <v>82</v>
      </c>
      <c r="DQ8" s="10"/>
      <c r="DR8" s="10"/>
      <c r="DS8" s="10"/>
      <c r="DT8" s="8"/>
    </row>
    <row r="9" spans="1:124" s="5" customFormat="1">
      <c r="A9" s="5" t="s">
        <v>47</v>
      </c>
      <c r="B9" s="5">
        <f>C9/C33*100</f>
        <v>1.9458887902228199</v>
      </c>
      <c r="C9" s="5">
        <f t="shared" si="2"/>
        <v>379.1</v>
      </c>
      <c r="F9" s="5">
        <v>34.799999999999997</v>
      </c>
      <c r="G9" s="5">
        <v>47.4</v>
      </c>
      <c r="H9" s="5">
        <f>125.9+153.7</f>
        <v>279.60000000000002</v>
      </c>
      <c r="I9" s="5">
        <v>17.3</v>
      </c>
      <c r="K9" s="5" t="s">
        <v>48</v>
      </c>
      <c r="L9" s="5">
        <f>M9/M35*100</f>
        <v>1.9635113422366581</v>
      </c>
      <c r="M9" s="5">
        <f>SUM(N9:S9)</f>
        <v>454.6</v>
      </c>
      <c r="N9" s="9">
        <v>454.6</v>
      </c>
      <c r="U9" s="8" t="s">
        <v>49</v>
      </c>
      <c r="V9" s="5">
        <f>W9/W34*100</f>
        <v>2.1710549976623095</v>
      </c>
      <c r="W9" s="5">
        <f t="shared" si="0"/>
        <v>543.29999999999995</v>
      </c>
      <c r="X9" s="9">
        <v>543.29999999999995</v>
      </c>
      <c r="AE9" s="8" t="s">
        <v>49</v>
      </c>
      <c r="AF9" s="5">
        <f>AG9/AG30*100</f>
        <v>1.8849340587759569</v>
      </c>
      <c r="AG9" s="5">
        <f t="shared" si="3"/>
        <v>599</v>
      </c>
      <c r="AH9" s="9">
        <v>595</v>
      </c>
      <c r="AJ9" s="9">
        <v>4</v>
      </c>
      <c r="AP9" s="5" t="s">
        <v>50</v>
      </c>
      <c r="AQ9" s="5">
        <f>AR9/AR27*100</f>
        <v>2.4060408520980578</v>
      </c>
      <c r="AR9" s="5">
        <f t="shared" si="4"/>
        <v>1065.2</v>
      </c>
      <c r="AX9" s="5">
        <v>1065.2</v>
      </c>
      <c r="BB9" s="5" t="s">
        <v>48</v>
      </c>
      <c r="BC9" s="5">
        <f>BD9/BD31*100</f>
        <v>2.895974089959477</v>
      </c>
      <c r="BD9" s="5">
        <f t="shared" si="5"/>
        <v>1516.5</v>
      </c>
      <c r="BE9" s="9">
        <v>1287.5999999999999</v>
      </c>
      <c r="BF9" s="5">
        <v>181.9</v>
      </c>
      <c r="BG9" s="9">
        <v>47</v>
      </c>
      <c r="BI9" s="6"/>
      <c r="BK9" s="8"/>
      <c r="BL9" s="8"/>
      <c r="BN9" s="8" t="s">
        <v>152</v>
      </c>
      <c r="BO9" s="8">
        <f>BP9/BP18*100</f>
        <v>2.874167327791648</v>
      </c>
      <c r="BP9" s="8">
        <f t="shared" si="1"/>
        <v>1873</v>
      </c>
      <c r="BQ9" s="8">
        <v>1446.5</v>
      </c>
      <c r="BR9" s="8">
        <v>291.60000000000002</v>
      </c>
      <c r="BS9" s="8">
        <v>84.9</v>
      </c>
      <c r="BT9" s="8">
        <v>50</v>
      </c>
      <c r="BU9" s="8"/>
      <c r="BV9" s="8"/>
      <c r="BW9" s="8"/>
      <c r="BX9" s="8"/>
      <c r="BZ9" s="8" t="s">
        <v>152</v>
      </c>
      <c r="CA9" s="5">
        <f>CB9/CB17*100</f>
        <v>2.612009448476095</v>
      </c>
      <c r="CB9" s="5">
        <f t="shared" si="6"/>
        <v>1775.9</v>
      </c>
      <c r="CC9" s="9">
        <v>1294.8</v>
      </c>
      <c r="CD9" s="72">
        <v>328.2</v>
      </c>
      <c r="CE9" s="8">
        <v>96</v>
      </c>
      <c r="CF9" s="8">
        <v>56.9</v>
      </c>
      <c r="CG9" s="8"/>
      <c r="CH9" s="8"/>
      <c r="CI9" s="8"/>
      <c r="CJ9" s="8"/>
      <c r="CL9" s="8" t="s">
        <v>157</v>
      </c>
      <c r="CM9" s="8">
        <f>CN9/CN20*100</f>
        <v>1.8971939408989322</v>
      </c>
      <c r="CN9" s="8">
        <f t="shared" si="7"/>
        <v>1337</v>
      </c>
      <c r="CO9" s="8"/>
      <c r="CP9" s="8"/>
      <c r="CQ9" s="8"/>
      <c r="CR9" s="8"/>
      <c r="CS9" s="8"/>
      <c r="CT9" s="8"/>
      <c r="CU9" s="8"/>
      <c r="CV9" s="8">
        <v>1337</v>
      </c>
      <c r="CX9" s="10" t="s">
        <v>157</v>
      </c>
      <c r="CY9" s="8">
        <f>CZ9/CZ20*100</f>
        <v>2.1410437744554396</v>
      </c>
      <c r="CZ9" s="10">
        <f t="shared" si="8"/>
        <v>1542.5</v>
      </c>
      <c r="DC9" s="10"/>
      <c r="DD9" s="10"/>
      <c r="DE9" s="10"/>
      <c r="DF9" s="10"/>
      <c r="DG9" s="10"/>
      <c r="DH9" s="8">
        <v>1542.5</v>
      </c>
      <c r="DJ9" s="10" t="s">
        <v>157</v>
      </c>
      <c r="DK9" s="8">
        <f>DL9/DL19*100</f>
        <v>2.5504924904869903</v>
      </c>
      <c r="DL9" s="10">
        <f t="shared" si="9"/>
        <v>1870.5</v>
      </c>
      <c r="DO9" s="10"/>
      <c r="DP9" s="10"/>
      <c r="DQ9" s="10"/>
      <c r="DR9" s="10"/>
      <c r="DS9" s="10"/>
      <c r="DT9" s="8">
        <f>DT19/2</f>
        <v>1870.5</v>
      </c>
    </row>
    <row r="10" spans="1:124" s="5" customFormat="1">
      <c r="A10" s="5" t="s">
        <v>149</v>
      </c>
      <c r="B10" s="5">
        <f>C10/C33*100</f>
        <v>1.6928359879068478</v>
      </c>
      <c r="C10" s="5">
        <f t="shared" si="2"/>
        <v>329.8</v>
      </c>
      <c r="E10" s="72">
        <v>109.7</v>
      </c>
      <c r="F10" s="5">
        <v>15.7</v>
      </c>
      <c r="G10" s="5">
        <v>181.4</v>
      </c>
      <c r="I10" s="5">
        <v>23</v>
      </c>
      <c r="K10" s="8" t="s">
        <v>51</v>
      </c>
      <c r="L10" s="5">
        <f>M10/M35*100</f>
        <v>1.6633264801921184</v>
      </c>
      <c r="M10" s="5">
        <f>SUM(N10:S10)</f>
        <v>385.1</v>
      </c>
      <c r="N10" s="9">
        <v>385.1</v>
      </c>
      <c r="T10" s="11"/>
      <c r="U10" s="5" t="s">
        <v>46</v>
      </c>
      <c r="V10" s="5">
        <f>W10/W34*100</f>
        <v>2.2917357650641166</v>
      </c>
      <c r="W10" s="5">
        <f t="shared" si="0"/>
        <v>573.5</v>
      </c>
      <c r="X10" s="9">
        <v>573.5</v>
      </c>
      <c r="AE10" s="5" t="s">
        <v>52</v>
      </c>
      <c r="AF10" s="5">
        <f>AG10/AG30*100</f>
        <v>1.9119965511056287</v>
      </c>
      <c r="AG10" s="5">
        <f t="shared" si="3"/>
        <v>607.6</v>
      </c>
      <c r="AK10" s="5">
        <v>534.4</v>
      </c>
      <c r="AL10" s="5">
        <v>24.6</v>
      </c>
      <c r="AN10" s="5">
        <v>48.6</v>
      </c>
      <c r="AP10" s="5" t="s">
        <v>53</v>
      </c>
      <c r="AQ10" s="5">
        <f>AR10/AR27*100</f>
        <v>1.9043682335747956</v>
      </c>
      <c r="AR10" s="5">
        <f t="shared" si="4"/>
        <v>843.1</v>
      </c>
      <c r="AX10" s="5">
        <v>843.1</v>
      </c>
      <c r="BB10" s="5" t="s">
        <v>53</v>
      </c>
      <c r="BC10" s="5">
        <f>BD10/BD31*100</f>
        <v>1.7769231063022048</v>
      </c>
      <c r="BD10" s="5">
        <f t="shared" si="5"/>
        <v>930.5</v>
      </c>
      <c r="BJ10" s="5">
        <v>930.5</v>
      </c>
      <c r="BN10" s="8" t="s">
        <v>231</v>
      </c>
      <c r="BO10" s="8">
        <f>BP10/BP18*100</f>
        <v>2.7368272445896444</v>
      </c>
      <c r="BP10" s="8">
        <f t="shared" si="1"/>
        <v>1783.5</v>
      </c>
      <c r="BQ10" s="8"/>
      <c r="BR10" s="8"/>
      <c r="BS10" s="8"/>
      <c r="BT10" s="8"/>
      <c r="BU10" s="8">
        <v>1386.9</v>
      </c>
      <c r="BV10" s="8">
        <v>396.6</v>
      </c>
      <c r="BW10" s="8"/>
      <c r="BX10" s="8"/>
      <c r="BZ10" s="5" t="s">
        <v>151</v>
      </c>
      <c r="CA10" s="5">
        <f>CB10/CB17*100</f>
        <v>1.5480263215952981</v>
      </c>
      <c r="CB10" s="5">
        <f t="shared" si="6"/>
        <v>1052.5</v>
      </c>
      <c r="CI10" s="75">
        <v>1052.5</v>
      </c>
      <c r="CL10" s="8" t="s">
        <v>161</v>
      </c>
      <c r="CM10" s="8">
        <f>CN10/CN20*100</f>
        <v>1.7609705913654259</v>
      </c>
      <c r="CN10" s="8">
        <f t="shared" si="7"/>
        <v>1240.9999999999998</v>
      </c>
      <c r="CO10" s="8">
        <v>190.1</v>
      </c>
      <c r="CP10" s="8"/>
      <c r="CQ10" s="8">
        <v>307.8</v>
      </c>
      <c r="CR10" s="8">
        <v>639.70000000000005</v>
      </c>
      <c r="CS10" s="12">
        <v>19.3</v>
      </c>
      <c r="CT10" s="8">
        <v>84.1</v>
      </c>
      <c r="CU10" s="8"/>
      <c r="CV10" s="8"/>
      <c r="CX10" s="10" t="s">
        <v>161</v>
      </c>
      <c r="CY10" s="8">
        <f>CZ10/CZ20*100</f>
        <v>1.8378969606200637</v>
      </c>
      <c r="CZ10" s="10">
        <f t="shared" si="8"/>
        <v>1324.1000000000004</v>
      </c>
      <c r="DA10" s="5">
        <v>209.4</v>
      </c>
      <c r="DC10" s="10">
        <v>345.2</v>
      </c>
      <c r="DD10" s="10">
        <v>652.70000000000005</v>
      </c>
      <c r="DE10" s="12">
        <v>21.4</v>
      </c>
      <c r="DF10" s="8">
        <v>95.4</v>
      </c>
      <c r="DG10" s="10"/>
      <c r="DH10" s="8"/>
      <c r="DI10" s="11"/>
      <c r="DJ10" s="10" t="s">
        <v>161</v>
      </c>
      <c r="DK10" s="8">
        <f>DL10/DL19*100</f>
        <v>1.8204557733489339</v>
      </c>
      <c r="DL10" s="10">
        <f t="shared" si="9"/>
        <v>1335.1000000000001</v>
      </c>
      <c r="DM10" s="5">
        <v>219.2</v>
      </c>
      <c r="DO10" s="10">
        <v>373</v>
      </c>
      <c r="DP10" s="10">
        <v>631.5</v>
      </c>
      <c r="DQ10" s="9">
        <v>16.7</v>
      </c>
      <c r="DR10" s="8">
        <v>94.7</v>
      </c>
      <c r="DS10" s="10"/>
      <c r="DT10" s="8"/>
    </row>
    <row r="11" spans="1:124" s="5" customFormat="1">
      <c r="A11" s="8" t="s">
        <v>51</v>
      </c>
      <c r="B11" s="5">
        <f>C11/C33*100</f>
        <v>1.4485091442914262</v>
      </c>
      <c r="C11" s="5">
        <f t="shared" si="2"/>
        <v>282.2</v>
      </c>
      <c r="D11" s="9">
        <v>282.2</v>
      </c>
      <c r="K11" s="5" t="s">
        <v>54</v>
      </c>
      <c r="L11" s="5">
        <f>M11/M35*100</f>
        <v>3.3279487223786743</v>
      </c>
      <c r="M11" s="5">
        <f t="shared" ref="M11:M34" si="10">SUM(N11:S11)</f>
        <v>770.50000000000011</v>
      </c>
      <c r="P11" s="5">
        <v>48.1</v>
      </c>
      <c r="Q11" s="5">
        <v>83.5</v>
      </c>
      <c r="R11" s="5">
        <f>278.3+337.6</f>
        <v>615.90000000000009</v>
      </c>
      <c r="S11" s="5">
        <v>23</v>
      </c>
      <c r="U11" s="5" t="s">
        <v>55</v>
      </c>
      <c r="V11" s="5">
        <f>W11/W34*100</f>
        <v>2.0232010773355924</v>
      </c>
      <c r="W11" s="5">
        <f t="shared" si="0"/>
        <v>506.3</v>
      </c>
      <c r="X11" s="9">
        <v>506.3</v>
      </c>
      <c r="AE11" s="5" t="s">
        <v>55</v>
      </c>
      <c r="AF11" s="5">
        <f>AG11/AG30*100</f>
        <v>1.6678047598518482</v>
      </c>
      <c r="AG11" s="5">
        <f t="shared" si="3"/>
        <v>530</v>
      </c>
      <c r="AH11" s="9">
        <v>528.6</v>
      </c>
      <c r="AJ11" s="9">
        <v>1.4</v>
      </c>
      <c r="AP11" s="5" t="s">
        <v>56</v>
      </c>
      <c r="AQ11" s="5">
        <f>AR11/AR27*100</f>
        <v>1.7130504902658346</v>
      </c>
      <c r="AR11" s="5">
        <f t="shared" si="4"/>
        <v>758.4</v>
      </c>
      <c r="AS11" s="5">
        <v>758.4</v>
      </c>
      <c r="BB11" s="5" t="s">
        <v>56</v>
      </c>
      <c r="BC11" s="5">
        <f>BD11/BD31*100</f>
        <v>1.5357351553876768</v>
      </c>
      <c r="BD11" s="5">
        <f t="shared" si="5"/>
        <v>804.2</v>
      </c>
      <c r="BE11" s="5">
        <v>804.2</v>
      </c>
      <c r="BN11" s="8" t="s">
        <v>161</v>
      </c>
      <c r="BO11" s="8">
        <f>BP11/BP18*100</f>
        <v>1.2896157086364661</v>
      </c>
      <c r="BP11" s="8">
        <f t="shared" si="1"/>
        <v>840.40000000000009</v>
      </c>
      <c r="BQ11" s="8">
        <v>79.2</v>
      </c>
      <c r="BR11" s="8"/>
      <c r="BS11" s="8">
        <v>215.9</v>
      </c>
      <c r="BT11" s="8">
        <v>512.1</v>
      </c>
      <c r="BU11" s="8"/>
      <c r="BV11" s="8">
        <v>33.200000000000003</v>
      </c>
      <c r="BW11" s="8"/>
      <c r="BX11" s="8"/>
      <c r="BZ11" s="5" t="s">
        <v>260</v>
      </c>
      <c r="CA11" s="5">
        <f>CB11/CB17*100</f>
        <v>1.485516945188837</v>
      </c>
      <c r="CB11" s="5">
        <f t="shared" si="6"/>
        <v>1010</v>
      </c>
      <c r="CI11" s="5">
        <v>1010</v>
      </c>
      <c r="CL11" s="8" t="s">
        <v>260</v>
      </c>
      <c r="CM11" s="8">
        <f>CN11/CN20*100</f>
        <v>1.3886267693071765</v>
      </c>
      <c r="CN11" s="8">
        <f t="shared" si="7"/>
        <v>978.6</v>
      </c>
      <c r="CO11" s="8"/>
      <c r="CP11" s="8"/>
      <c r="CQ11" s="8"/>
      <c r="CR11" s="8"/>
      <c r="CS11" s="8"/>
      <c r="CT11" s="8"/>
      <c r="CU11" s="8">
        <v>978.6</v>
      </c>
      <c r="CV11" s="8"/>
      <c r="CX11" s="10" t="s">
        <v>260</v>
      </c>
      <c r="CY11" s="8">
        <f>CZ11/CZ20*100</f>
        <v>1.2714399334853697</v>
      </c>
      <c r="CZ11" s="10">
        <f t="shared" si="8"/>
        <v>916</v>
      </c>
      <c r="DC11" s="10"/>
      <c r="DD11" s="10"/>
      <c r="DE11" s="10"/>
      <c r="DF11" s="10"/>
      <c r="DG11" s="10">
        <v>916</v>
      </c>
      <c r="DH11" s="8"/>
      <c r="DJ11" s="10" t="s">
        <v>260</v>
      </c>
      <c r="DK11" s="8">
        <f>DL11/DL19*100</f>
        <v>1.2687694533002642</v>
      </c>
      <c r="DL11" s="10">
        <f t="shared" si="9"/>
        <v>930.5</v>
      </c>
      <c r="DO11" s="10"/>
      <c r="DP11" s="10"/>
      <c r="DQ11" s="10"/>
      <c r="DR11" s="10"/>
      <c r="DS11" s="10">
        <v>930.5</v>
      </c>
      <c r="DT11" s="8"/>
    </row>
    <row r="12" spans="1:124" s="5" customFormat="1">
      <c r="A12" s="5" t="s">
        <v>57</v>
      </c>
      <c r="B12" s="5">
        <f>C12/C33*100</f>
        <v>1.399233142217728</v>
      </c>
      <c r="C12" s="5">
        <f t="shared" si="2"/>
        <v>272.60000000000002</v>
      </c>
      <c r="D12" s="9">
        <v>272.60000000000002</v>
      </c>
      <c r="K12" s="5" t="s">
        <v>58</v>
      </c>
      <c r="L12" s="5">
        <f>M12/M35*100</f>
        <v>1.4940135795857017</v>
      </c>
      <c r="M12" s="5">
        <f t="shared" si="10"/>
        <v>345.9</v>
      </c>
      <c r="P12" s="5">
        <v>100.9</v>
      </c>
      <c r="Q12" s="5">
        <v>245</v>
      </c>
      <c r="U12" s="5" t="s">
        <v>257</v>
      </c>
      <c r="V12" s="5">
        <f>W12/W34*100</f>
        <v>1.8353866380016544</v>
      </c>
      <c r="W12" s="5">
        <f t="shared" si="0"/>
        <v>459.3</v>
      </c>
      <c r="Z12" s="5">
        <v>167</v>
      </c>
      <c r="AA12" s="5">
        <v>292.3</v>
      </c>
      <c r="AE12" s="5" t="s">
        <v>59</v>
      </c>
      <c r="AF12" s="5">
        <f>AG12/AG30*100</f>
        <v>1.6010925694577745</v>
      </c>
      <c r="AG12" s="5">
        <f t="shared" si="3"/>
        <v>508.8</v>
      </c>
      <c r="AM12" s="5">
        <v>508.8</v>
      </c>
      <c r="AP12" s="5" t="s">
        <v>58</v>
      </c>
      <c r="AQ12" s="5">
        <f>AR12/AR27*100</f>
        <v>1.6233773567432164</v>
      </c>
      <c r="AR12" s="5">
        <f t="shared" si="4"/>
        <v>718.7</v>
      </c>
      <c r="AU12" s="5">
        <v>59.7</v>
      </c>
      <c r="AV12" s="5">
        <v>659</v>
      </c>
      <c r="BB12" s="5" t="s">
        <v>155</v>
      </c>
      <c r="BC12" s="5">
        <f>BD12/BD31*100</f>
        <v>1.4534295284326795</v>
      </c>
      <c r="BD12" s="5">
        <f t="shared" si="5"/>
        <v>761.1</v>
      </c>
      <c r="BG12" s="5">
        <v>101.5</v>
      </c>
      <c r="BH12" s="5">
        <v>546.6</v>
      </c>
      <c r="BI12" s="5">
        <v>113</v>
      </c>
      <c r="BN12" s="8" t="s">
        <v>172</v>
      </c>
      <c r="BO12" s="8">
        <f>BP12/BP18*100</f>
        <v>1.5072115052626571</v>
      </c>
      <c r="BP12" s="8">
        <f t="shared" si="1"/>
        <v>982.2</v>
      </c>
      <c r="BQ12" s="8">
        <v>476.9</v>
      </c>
      <c r="BR12" s="8">
        <v>375.8</v>
      </c>
      <c r="BS12" s="8">
        <v>89.8</v>
      </c>
      <c r="BT12" s="8">
        <v>39.700000000000003</v>
      </c>
      <c r="BU12" s="8"/>
      <c r="BV12" s="8"/>
      <c r="BW12" s="8"/>
      <c r="BX12" s="8"/>
      <c r="BZ12" s="5" t="s">
        <v>155</v>
      </c>
      <c r="CA12" s="5">
        <f>CB12/CB17*100</f>
        <v>0.98514777216582461</v>
      </c>
      <c r="CB12" s="5">
        <f t="shared" si="6"/>
        <v>669.79999999999984</v>
      </c>
      <c r="CE12" s="5">
        <v>281.7</v>
      </c>
      <c r="CF12" s="5">
        <v>284.39999999999998</v>
      </c>
      <c r="CG12" s="5">
        <v>61.9</v>
      </c>
      <c r="CH12" s="8">
        <v>41.800000000000004</v>
      </c>
      <c r="CL12" s="8" t="s">
        <v>178</v>
      </c>
      <c r="CM12" s="8">
        <f>CN12/CN20*100</f>
        <v>1.4460959948916245</v>
      </c>
      <c r="CN12" s="8">
        <f t="shared" si="7"/>
        <v>1019.1</v>
      </c>
      <c r="CO12" s="8"/>
      <c r="CP12" s="8"/>
      <c r="CQ12" s="8"/>
      <c r="CR12" s="8"/>
      <c r="CS12" s="8"/>
      <c r="CT12" s="8"/>
      <c r="CU12" s="8">
        <v>1019.1</v>
      </c>
      <c r="CV12" s="8"/>
      <c r="CX12" s="10" t="s">
        <v>172</v>
      </c>
      <c r="CY12" s="8">
        <f>CZ12/CZ20*100</f>
        <v>1.4510516446131061</v>
      </c>
      <c r="CZ12" s="10">
        <f t="shared" si="8"/>
        <v>1045.3999999999999</v>
      </c>
      <c r="DA12" s="5">
        <v>384.9</v>
      </c>
      <c r="DB12" s="5">
        <v>454.2</v>
      </c>
      <c r="DC12" s="10">
        <v>136</v>
      </c>
      <c r="DD12" s="10">
        <v>70.3</v>
      </c>
      <c r="DE12" s="10"/>
      <c r="DF12" s="10"/>
      <c r="DG12" s="10"/>
      <c r="DH12" s="8"/>
      <c r="DJ12" s="10" t="s">
        <v>172</v>
      </c>
      <c r="DK12" s="8">
        <f>DL12/DL19*100</f>
        <v>1.4550283542361224</v>
      </c>
      <c r="DL12" s="10">
        <f t="shared" si="9"/>
        <v>1067.0999999999999</v>
      </c>
      <c r="DM12" s="5">
        <v>385.2</v>
      </c>
      <c r="DN12" s="5">
        <v>471.8</v>
      </c>
      <c r="DO12" s="10">
        <v>140</v>
      </c>
      <c r="DP12" s="10">
        <v>70.099999999999994</v>
      </c>
      <c r="DQ12" s="10"/>
      <c r="DR12" s="10"/>
      <c r="DS12" s="10"/>
      <c r="DT12" s="8"/>
    </row>
    <row r="13" spans="1:124" s="5" customFormat="1">
      <c r="A13" s="8" t="s">
        <v>60</v>
      </c>
      <c r="B13" s="5">
        <f>C13/C33*100</f>
        <v>1.1785177162626204</v>
      </c>
      <c r="C13" s="5">
        <f t="shared" si="2"/>
        <v>229.6</v>
      </c>
      <c r="D13" s="9">
        <v>229.6</v>
      </c>
      <c r="K13" s="5" t="s">
        <v>232</v>
      </c>
      <c r="L13" s="5">
        <f>M13/M35*100</f>
        <v>2.2071145971907882</v>
      </c>
      <c r="M13" s="5">
        <f t="shared" si="10"/>
        <v>511</v>
      </c>
      <c r="O13" s="72">
        <v>146.19999999999999</v>
      </c>
      <c r="P13" s="5">
        <v>61.8</v>
      </c>
      <c r="Q13" s="5">
        <v>277.8</v>
      </c>
      <c r="S13" s="5">
        <v>25.2</v>
      </c>
      <c r="U13" s="5" t="s">
        <v>61</v>
      </c>
      <c r="V13" s="5">
        <f>W13/W34*100</f>
        <v>3.5476948774610682</v>
      </c>
      <c r="W13" s="5">
        <f t="shared" si="0"/>
        <v>887.8</v>
      </c>
      <c r="Z13" s="5">
        <v>67</v>
      </c>
      <c r="AA13" s="5">
        <v>176</v>
      </c>
      <c r="AB13" s="5">
        <f>244.2+365.2</f>
        <v>609.4</v>
      </c>
      <c r="AC13" s="5">
        <v>35.4</v>
      </c>
      <c r="AE13" s="8" t="s">
        <v>62</v>
      </c>
      <c r="AF13" s="5">
        <f>AG13/AG30*100</f>
        <v>1.4173193657307031</v>
      </c>
      <c r="AG13" s="5">
        <f t="shared" si="3"/>
        <v>450.40000000000003</v>
      </c>
      <c r="AH13" s="9">
        <v>446.8</v>
      </c>
      <c r="AJ13" s="9">
        <v>3.6</v>
      </c>
      <c r="AP13" s="5" t="s">
        <v>63</v>
      </c>
      <c r="AQ13" s="5">
        <f>AR13/AR27*100</f>
        <v>1.895333157149343</v>
      </c>
      <c r="AR13" s="5">
        <f t="shared" si="4"/>
        <v>839.09999999999991</v>
      </c>
      <c r="AS13" s="9">
        <v>818.3</v>
      </c>
      <c r="AU13" s="9">
        <v>20.8</v>
      </c>
      <c r="BB13" s="5" t="s">
        <v>64</v>
      </c>
      <c r="BC13" s="5">
        <f>BD13/BD31*100</f>
        <v>1.6155582460308064</v>
      </c>
      <c r="BD13" s="5">
        <f t="shared" si="5"/>
        <v>846.00000000000011</v>
      </c>
      <c r="BE13" s="9">
        <v>601.1</v>
      </c>
      <c r="BF13" s="5">
        <v>193.8</v>
      </c>
      <c r="BG13" s="9">
        <v>51.1</v>
      </c>
      <c r="BI13" s="6"/>
      <c r="BK13" s="8"/>
      <c r="BL13" s="8"/>
      <c r="BN13" s="8" t="s">
        <v>157</v>
      </c>
      <c r="BO13" s="8">
        <f>BP13/BP18*100</f>
        <v>1.2276208554369026</v>
      </c>
      <c r="BP13" s="8">
        <f t="shared" si="1"/>
        <v>800</v>
      </c>
      <c r="BQ13" s="8"/>
      <c r="BR13" s="8"/>
      <c r="BS13" s="8"/>
      <c r="BT13" s="8"/>
      <c r="BU13" s="8"/>
      <c r="BV13" s="8"/>
      <c r="BW13" s="8"/>
      <c r="BX13" s="8">
        <v>800</v>
      </c>
      <c r="BZ13" s="8" t="s">
        <v>172</v>
      </c>
      <c r="CA13" s="5">
        <f>CB13/CB17*100</f>
        <v>1.4550712018567491</v>
      </c>
      <c r="CB13" s="5">
        <f t="shared" si="6"/>
        <v>989.3</v>
      </c>
      <c r="CC13" s="9">
        <v>418.5</v>
      </c>
      <c r="CD13" s="72">
        <v>408.5</v>
      </c>
      <c r="CE13" s="8">
        <v>115.5</v>
      </c>
      <c r="CF13" s="8">
        <v>46.8</v>
      </c>
      <c r="CG13" s="8"/>
      <c r="CH13" s="8"/>
      <c r="CI13" s="8"/>
      <c r="CJ13" s="8"/>
      <c r="CL13" s="8" t="s">
        <v>172</v>
      </c>
      <c r="CM13" s="8">
        <f>CN13/CN20*100</f>
        <v>1.3664904750079818</v>
      </c>
      <c r="CN13" s="8">
        <f t="shared" si="7"/>
        <v>963</v>
      </c>
      <c r="CO13" s="8">
        <v>364.9</v>
      </c>
      <c r="CP13" s="8">
        <v>414.4</v>
      </c>
      <c r="CQ13" s="8">
        <v>124.7</v>
      </c>
      <c r="CR13" s="8">
        <v>59</v>
      </c>
      <c r="CS13" s="8"/>
      <c r="CT13" s="8"/>
      <c r="CU13" s="8"/>
      <c r="CV13" s="8"/>
      <c r="CX13" s="10" t="s">
        <v>178</v>
      </c>
      <c r="CY13" s="8">
        <f>CZ13/CZ20*100</f>
        <v>1.1547062016009595</v>
      </c>
      <c r="CZ13" s="10">
        <f t="shared" si="8"/>
        <v>831.9</v>
      </c>
      <c r="DC13" s="10"/>
      <c r="DD13" s="10"/>
      <c r="DE13" s="10"/>
      <c r="DF13" s="10"/>
      <c r="DG13" s="10">
        <v>831.9</v>
      </c>
      <c r="DH13" s="8"/>
      <c r="DJ13" s="10" t="s">
        <v>178</v>
      </c>
      <c r="DK13" s="8">
        <f>DL13/DL19*100</f>
        <v>1.0248330156910033</v>
      </c>
      <c r="DL13" s="10">
        <f t="shared" si="9"/>
        <v>751.6</v>
      </c>
      <c r="DO13" s="10"/>
      <c r="DP13" s="10"/>
      <c r="DQ13" s="10"/>
      <c r="DR13" s="10"/>
      <c r="DS13" s="10">
        <v>751.6</v>
      </c>
      <c r="DT13" s="8"/>
    </row>
    <row r="14" spans="1:124" s="5" customFormat="1">
      <c r="A14" s="5" t="s">
        <v>65</v>
      </c>
      <c r="B14" s="5">
        <f>C14/C33*100</f>
        <v>1.6194352764845679</v>
      </c>
      <c r="C14" s="5">
        <f t="shared" si="2"/>
        <v>315.5</v>
      </c>
      <c r="H14" s="5">
        <v>315.5</v>
      </c>
      <c r="K14" s="5" t="s">
        <v>65</v>
      </c>
      <c r="L14" s="5">
        <f>M14/M35*100</f>
        <v>1.7458233271712653</v>
      </c>
      <c r="M14" s="5">
        <f t="shared" si="10"/>
        <v>404.2</v>
      </c>
      <c r="R14" s="5">
        <v>404.2</v>
      </c>
      <c r="U14" s="8" t="s">
        <v>62</v>
      </c>
      <c r="V14" s="5">
        <f>W14/W34*100</f>
        <v>1.3950217185420803</v>
      </c>
      <c r="W14" s="5">
        <f t="shared" si="0"/>
        <v>349.1</v>
      </c>
      <c r="X14" s="9">
        <v>349.1</v>
      </c>
      <c r="AE14" s="5" t="s">
        <v>66</v>
      </c>
      <c r="AF14" s="5">
        <f>AG14/AG30*100</f>
        <v>1.2618673749067759</v>
      </c>
      <c r="AG14" s="5">
        <f t="shared" si="3"/>
        <v>401</v>
      </c>
      <c r="AM14" s="5">
        <v>401</v>
      </c>
      <c r="AP14" s="5" t="s">
        <v>67</v>
      </c>
      <c r="AQ14" s="5">
        <f>AR14/AR27*100</f>
        <v>1.3988557075707164</v>
      </c>
      <c r="AR14" s="5">
        <f t="shared" si="4"/>
        <v>619.29999999999995</v>
      </c>
      <c r="AW14" s="5">
        <v>619.29999999999995</v>
      </c>
      <c r="BB14" s="5" t="s">
        <v>160</v>
      </c>
      <c r="BC14" s="5">
        <f>BD14/BD31*100</f>
        <v>1.0934617632118673</v>
      </c>
      <c r="BD14" s="5">
        <f t="shared" si="5"/>
        <v>572.6</v>
      </c>
      <c r="BI14" s="5">
        <v>449.8</v>
      </c>
      <c r="BK14" s="5">
        <v>122.8</v>
      </c>
      <c r="BN14" s="8" t="s">
        <v>167</v>
      </c>
      <c r="BO14" s="8">
        <f>BP14/BP18*100</f>
        <v>1.1999993861895721</v>
      </c>
      <c r="BP14" s="8">
        <f t="shared" si="1"/>
        <v>782</v>
      </c>
      <c r="BQ14" s="8"/>
      <c r="BR14" s="8"/>
      <c r="BS14" s="8"/>
      <c r="BT14" s="8"/>
      <c r="BU14" s="8">
        <v>490.9</v>
      </c>
      <c r="BV14" s="8">
        <v>291.10000000000002</v>
      </c>
      <c r="BW14" s="8"/>
      <c r="BX14" s="8"/>
      <c r="BZ14" s="5" t="s">
        <v>167</v>
      </c>
      <c r="CA14" s="5">
        <f>CB14/CB17*100</f>
        <v>1.2559236826700475</v>
      </c>
      <c r="CB14" s="5">
        <f t="shared" si="6"/>
        <v>853.9</v>
      </c>
      <c r="CG14" s="5">
        <v>527.9</v>
      </c>
      <c r="CH14" s="5">
        <v>326</v>
      </c>
      <c r="CL14" s="8" t="s">
        <v>167</v>
      </c>
      <c r="CM14" s="8">
        <f>CN14/CN20*100</f>
        <v>1.2745397140728654</v>
      </c>
      <c r="CN14" s="8">
        <f t="shared" si="7"/>
        <v>898.2</v>
      </c>
      <c r="CO14" s="8"/>
      <c r="CP14" s="8"/>
      <c r="CQ14" s="8"/>
      <c r="CR14" s="8"/>
      <c r="CS14" s="8">
        <v>557.9</v>
      </c>
      <c r="CT14" s="8">
        <v>340.3</v>
      </c>
      <c r="CU14" s="8"/>
      <c r="CV14" s="8"/>
      <c r="CX14" s="5" t="s">
        <v>167</v>
      </c>
      <c r="CY14" s="8">
        <f>CZ14/CZ20*100</f>
        <v>1.2375718828554099</v>
      </c>
      <c r="CZ14" s="10">
        <f t="shared" si="8"/>
        <v>891.6</v>
      </c>
      <c r="DE14" s="5">
        <v>561.6</v>
      </c>
      <c r="DF14" s="5">
        <v>330</v>
      </c>
      <c r="DG14" s="13"/>
      <c r="DH14" s="13"/>
      <c r="DJ14" s="10" t="s">
        <v>68</v>
      </c>
      <c r="DK14" s="8">
        <f>DL14/DL19*100</f>
        <v>0.88657055189235034</v>
      </c>
      <c r="DL14" s="10">
        <f t="shared" si="9"/>
        <v>650.20000000000005</v>
      </c>
      <c r="DM14" s="5">
        <v>115.2</v>
      </c>
      <c r="DO14" s="10">
        <v>202.3</v>
      </c>
      <c r="DP14" s="10">
        <v>332.7</v>
      </c>
      <c r="DQ14" s="10"/>
      <c r="DR14" s="10"/>
      <c r="DS14" s="6"/>
      <c r="DT14" s="8"/>
    </row>
    <row r="15" spans="1:124" s="5" customFormat="1">
      <c r="A15" s="5" t="s">
        <v>69</v>
      </c>
      <c r="B15" s="5">
        <f>C15/C33*100</f>
        <v>0.75813182357138076</v>
      </c>
      <c r="C15" s="5">
        <f t="shared" si="2"/>
        <v>147.69999999999999</v>
      </c>
      <c r="F15" s="5">
        <v>147.69999999999999</v>
      </c>
      <c r="K15" s="8" t="s">
        <v>60</v>
      </c>
      <c r="L15" s="5">
        <f>M15/M35*100</f>
        <v>1.201171368842971</v>
      </c>
      <c r="M15" s="5">
        <f t="shared" si="10"/>
        <v>278.10000000000002</v>
      </c>
      <c r="N15" s="9">
        <v>278.10000000000002</v>
      </c>
      <c r="U15" s="5" t="s">
        <v>260</v>
      </c>
      <c r="V15" s="5">
        <f>W15/W34*100</f>
        <v>1.6447749623372108</v>
      </c>
      <c r="W15" s="5">
        <f t="shared" si="0"/>
        <v>411.6</v>
      </c>
      <c r="AB15" s="5">
        <v>411.6</v>
      </c>
      <c r="AE15" s="5" t="s">
        <v>70</v>
      </c>
      <c r="AF15" s="5">
        <f>AG15/AG30*100</f>
        <v>1.166519291466189</v>
      </c>
      <c r="AG15" s="5">
        <f t="shared" si="3"/>
        <v>370.7</v>
      </c>
      <c r="AM15" s="5">
        <v>370.7</v>
      </c>
      <c r="AP15" s="5" t="s">
        <v>71</v>
      </c>
      <c r="AQ15" s="5">
        <f>AR15/AR27*100</f>
        <v>0.97240010028934831</v>
      </c>
      <c r="AR15" s="5">
        <f t="shared" si="4"/>
        <v>430.5</v>
      </c>
      <c r="AT15" s="5">
        <v>430.5</v>
      </c>
      <c r="BB15" s="5" t="s">
        <v>72</v>
      </c>
      <c r="BC15" s="5">
        <f>BD15/BD31*100</f>
        <v>0.94202704818793936</v>
      </c>
      <c r="BD15" s="5">
        <f t="shared" si="5"/>
        <v>493.3</v>
      </c>
      <c r="BJ15" s="5">
        <v>493.3</v>
      </c>
      <c r="BN15" s="8" t="s">
        <v>73</v>
      </c>
      <c r="BO15" s="8">
        <f>BP15/BP18*100</f>
        <v>0.90015299224910883</v>
      </c>
      <c r="BP15" s="8">
        <f t="shared" si="1"/>
        <v>586.6</v>
      </c>
      <c r="BQ15" s="8"/>
      <c r="BR15" s="8"/>
      <c r="BS15" s="8"/>
      <c r="BT15" s="8"/>
      <c r="BU15" s="8"/>
      <c r="BV15" s="8"/>
      <c r="BW15" s="8">
        <v>586.6</v>
      </c>
      <c r="BX15" s="8"/>
      <c r="BZ15" s="5" t="s">
        <v>177</v>
      </c>
      <c r="CA15" s="5">
        <f>CB15/CB17*100</f>
        <v>0.77070384087024824</v>
      </c>
      <c r="CB15" s="5">
        <f t="shared" si="6"/>
        <v>524</v>
      </c>
      <c r="CI15" s="5">
        <v>524</v>
      </c>
      <c r="CL15" s="8" t="s">
        <v>74</v>
      </c>
      <c r="CM15" s="8">
        <f>CN15/CN20*100</f>
        <v>0.84302387456099881</v>
      </c>
      <c r="CN15" s="8">
        <f t="shared" si="7"/>
        <v>594.09999999999991</v>
      </c>
      <c r="CO15" s="8">
        <v>97.2</v>
      </c>
      <c r="CP15" s="8"/>
      <c r="CQ15" s="8">
        <v>170.5</v>
      </c>
      <c r="CR15" s="8">
        <v>326.39999999999998</v>
      </c>
      <c r="CS15" s="8"/>
      <c r="CT15" s="8"/>
      <c r="CU15" s="8"/>
      <c r="CV15" s="8"/>
      <c r="CX15" s="10" t="s">
        <v>68</v>
      </c>
      <c r="CY15" s="8">
        <f>CZ15/CZ20*100</f>
        <v>0.87807085362755966</v>
      </c>
      <c r="CZ15" s="10">
        <f t="shared" si="8"/>
        <v>632.59999999999991</v>
      </c>
      <c r="DA15" s="5">
        <v>109.3</v>
      </c>
      <c r="DC15" s="10">
        <v>191.6</v>
      </c>
      <c r="DD15" s="10">
        <v>331.7</v>
      </c>
      <c r="DE15" s="10"/>
      <c r="DF15" s="10"/>
      <c r="DG15" s="6"/>
      <c r="DH15" s="8"/>
      <c r="DI15" s="11"/>
      <c r="DJ15" s="10" t="s">
        <v>171</v>
      </c>
      <c r="DK15" s="8">
        <f>DL15/DL19*100</f>
        <v>0.50259905479470979</v>
      </c>
      <c r="DL15" s="10">
        <f t="shared" si="9"/>
        <v>368.6</v>
      </c>
      <c r="DM15" s="11"/>
      <c r="DN15" s="11"/>
      <c r="DO15" s="10"/>
      <c r="DP15" s="10"/>
      <c r="DQ15" s="10"/>
      <c r="DR15" s="10"/>
      <c r="DS15" s="10">
        <v>368.6</v>
      </c>
      <c r="DT15" s="8"/>
    </row>
    <row r="16" spans="1:124" s="5" customFormat="1">
      <c r="A16" s="5" t="s">
        <v>75</v>
      </c>
      <c r="B16" s="5">
        <f>C16/C33*100</f>
        <v>0.72168811370437469</v>
      </c>
      <c r="C16" s="5">
        <f t="shared" si="2"/>
        <v>140.6</v>
      </c>
      <c r="F16" s="5">
        <v>95.5</v>
      </c>
      <c r="G16" s="5">
        <v>20.9</v>
      </c>
      <c r="I16" s="5">
        <v>24.2</v>
      </c>
      <c r="K16" s="8" t="s">
        <v>76</v>
      </c>
      <c r="L16" s="5">
        <f>M16/M35*100</f>
        <v>0.83144727976365318</v>
      </c>
      <c r="M16" s="5">
        <f t="shared" si="10"/>
        <v>192.5</v>
      </c>
      <c r="N16" s="9">
        <v>192.5</v>
      </c>
      <c r="U16" s="8" t="s">
        <v>77</v>
      </c>
      <c r="V16" s="5">
        <f>W16/W34*100</f>
        <v>1.0897233533269128</v>
      </c>
      <c r="W16" s="5">
        <f t="shared" si="0"/>
        <v>272.7</v>
      </c>
      <c r="X16" s="9">
        <v>272.7</v>
      </c>
      <c r="AE16" s="5" t="s">
        <v>78</v>
      </c>
      <c r="AF16" s="5">
        <f>AG16/AG30*100</f>
        <v>1.1636871701758746</v>
      </c>
      <c r="AG16" s="5">
        <f t="shared" si="3"/>
        <v>369.8</v>
      </c>
      <c r="AM16" s="5">
        <v>369.8</v>
      </c>
      <c r="AP16" s="5" t="s">
        <v>64</v>
      </c>
      <c r="AQ16" s="5">
        <f>AR16/AR27*100</f>
        <v>1.3200246657586414</v>
      </c>
      <c r="AR16" s="5">
        <f t="shared" si="4"/>
        <v>584.4</v>
      </c>
      <c r="AS16" s="9">
        <v>559.6</v>
      </c>
      <c r="AU16" s="9">
        <v>24.8</v>
      </c>
      <c r="BB16" s="5" t="s">
        <v>167</v>
      </c>
      <c r="BC16" s="5">
        <f>BD16/BD31*100</f>
        <v>0.93610715390579358</v>
      </c>
      <c r="BD16" s="5">
        <f t="shared" si="5"/>
        <v>490.20000000000005</v>
      </c>
      <c r="BI16" s="5">
        <v>370.8</v>
      </c>
      <c r="BK16" s="5">
        <v>119.4</v>
      </c>
      <c r="BN16" s="8" t="s">
        <v>260</v>
      </c>
      <c r="BO16" s="8">
        <f>BP16/BP18*100</f>
        <v>1.5093598417596716</v>
      </c>
      <c r="BP16" s="8">
        <f t="shared" si="1"/>
        <v>983.6</v>
      </c>
      <c r="BQ16" s="8"/>
      <c r="BR16" s="8"/>
      <c r="BS16" s="8"/>
      <c r="BT16" s="8"/>
      <c r="BU16" s="8"/>
      <c r="BV16" s="8"/>
      <c r="BW16" s="8">
        <v>983.6</v>
      </c>
      <c r="BX16" s="8"/>
      <c r="BZ16" s="5" t="s">
        <v>181</v>
      </c>
      <c r="CA16" s="5">
        <f>CB16/CB17*100</f>
        <v>0.71260689103365504</v>
      </c>
      <c r="CB16" s="5">
        <f t="shared" si="6"/>
        <v>484.5</v>
      </c>
      <c r="CE16" s="5">
        <v>173.9</v>
      </c>
      <c r="CF16" s="9">
        <v>310.60000000000002</v>
      </c>
      <c r="CL16" s="8" t="s">
        <v>171</v>
      </c>
      <c r="CM16" s="8">
        <f>CN16/CN20*100</f>
        <v>0.80215686970094713</v>
      </c>
      <c r="CN16" s="8">
        <f t="shared" si="7"/>
        <v>565.29999999999995</v>
      </c>
      <c r="CO16" s="8"/>
      <c r="CP16" s="8"/>
      <c r="CQ16" s="8"/>
      <c r="CR16" s="8"/>
      <c r="CS16" s="8"/>
      <c r="CT16" s="8"/>
      <c r="CU16" s="8">
        <v>565.29999999999995</v>
      </c>
      <c r="CV16" s="61"/>
      <c r="CX16" s="10" t="s">
        <v>171</v>
      </c>
      <c r="CY16" s="8">
        <f>CZ16/CZ20*100</f>
        <v>0.64821228049963719</v>
      </c>
      <c r="CZ16" s="10">
        <f t="shared" si="8"/>
        <v>467</v>
      </c>
      <c r="DA16" s="11"/>
      <c r="DB16" s="11"/>
      <c r="DC16" s="10"/>
      <c r="DD16" s="10"/>
      <c r="DE16" s="10"/>
      <c r="DF16" s="10"/>
      <c r="DG16" s="10">
        <v>467</v>
      </c>
      <c r="DH16" s="8"/>
      <c r="DI16" s="11"/>
      <c r="DJ16" s="10" t="s">
        <v>194</v>
      </c>
      <c r="DK16" s="8">
        <f>DL16/DL19*100</f>
        <v>0.37101791321117888</v>
      </c>
      <c r="DL16" s="10">
        <f t="shared" si="9"/>
        <v>272.10000000000002</v>
      </c>
      <c r="DO16" s="10"/>
      <c r="DP16" s="10"/>
      <c r="DQ16" s="10"/>
      <c r="DR16" s="10"/>
      <c r="DS16" s="10">
        <v>272.10000000000002</v>
      </c>
      <c r="DT16" s="8"/>
    </row>
    <row r="17" spans="1:124" s="5" customFormat="1">
      <c r="A17" s="5" t="s">
        <v>79</v>
      </c>
      <c r="B17" s="5">
        <f>C17/C33*100</f>
        <v>0.38137572438289502</v>
      </c>
      <c r="C17" s="5">
        <f t="shared" si="2"/>
        <v>74.3</v>
      </c>
      <c r="F17" s="5">
        <v>55.4</v>
      </c>
      <c r="G17" s="5">
        <v>18.899999999999999</v>
      </c>
      <c r="K17" s="5" t="s">
        <v>80</v>
      </c>
      <c r="L17" s="5">
        <f>M17/M35*100</f>
        <v>0.61980615400563233</v>
      </c>
      <c r="M17" s="5">
        <f t="shared" si="10"/>
        <v>143.5</v>
      </c>
      <c r="P17" s="5">
        <v>122.8</v>
      </c>
      <c r="S17" s="5">
        <v>20.7</v>
      </c>
      <c r="U17" s="5" t="s">
        <v>252</v>
      </c>
      <c r="V17" s="5">
        <f>W17/W34*100</f>
        <v>0.97463705858611693</v>
      </c>
      <c r="W17" s="5">
        <f t="shared" si="0"/>
        <v>243.9</v>
      </c>
      <c r="Z17" s="5">
        <v>243.9</v>
      </c>
      <c r="AE17" s="8" t="s">
        <v>77</v>
      </c>
      <c r="AF17" s="5">
        <f>AG17/AG30*100</f>
        <v>1.0069764587784744</v>
      </c>
      <c r="AG17" s="5">
        <f t="shared" si="3"/>
        <v>320</v>
      </c>
      <c r="AH17" s="9">
        <v>317.8</v>
      </c>
      <c r="AJ17" s="9">
        <v>2.2000000000000002</v>
      </c>
      <c r="AP17" s="5" t="s">
        <v>81</v>
      </c>
      <c r="AQ17" s="5">
        <f>AR17/AR27*100</f>
        <v>0.32232635147802552</v>
      </c>
      <c r="AR17" s="5">
        <f t="shared" si="4"/>
        <v>142.69999999999999</v>
      </c>
      <c r="AX17" s="5">
        <v>142.69999999999999</v>
      </c>
      <c r="BB17" s="5" t="s">
        <v>82</v>
      </c>
      <c r="BC17" s="5">
        <f>BD17/BD31*100</f>
        <v>0.68460712908043031</v>
      </c>
      <c r="BD17" s="5">
        <f t="shared" si="5"/>
        <v>358.5</v>
      </c>
      <c r="BE17" s="5">
        <v>358.5</v>
      </c>
      <c r="BN17" s="8" t="s">
        <v>181</v>
      </c>
      <c r="BO17" s="8">
        <f>BP17/BP18*100</f>
        <v>0.31166224467404363</v>
      </c>
      <c r="BP17" s="8">
        <f>SUM(BQ17:BX17)</f>
        <v>203.1</v>
      </c>
      <c r="BQ17" s="8">
        <v>56.9</v>
      </c>
      <c r="BR17" s="8"/>
      <c r="BS17" s="8">
        <v>146.19999999999999</v>
      </c>
      <c r="BT17" s="8"/>
      <c r="BU17" s="8"/>
      <c r="BV17" s="8"/>
      <c r="BW17" s="8"/>
      <c r="BX17" s="8"/>
      <c r="BZ17" s="15" t="s">
        <v>83</v>
      </c>
      <c r="CA17" s="14"/>
      <c r="CB17" s="14">
        <f t="shared" si="6"/>
        <v>67989.8</v>
      </c>
      <c r="CC17" s="14">
        <v>16900</v>
      </c>
      <c r="CD17" s="76">
        <v>18000</v>
      </c>
      <c r="CE17" s="14">
        <v>6800</v>
      </c>
      <c r="CF17" s="14">
        <v>8100</v>
      </c>
      <c r="CG17" s="14">
        <v>6890</v>
      </c>
      <c r="CH17" s="14">
        <v>1992.2</v>
      </c>
      <c r="CI17" s="14">
        <f>2134.5+4943.1</f>
        <v>7077.6</v>
      </c>
      <c r="CJ17" s="21">
        <v>2230</v>
      </c>
      <c r="CL17" s="8" t="s">
        <v>194</v>
      </c>
      <c r="CM17" s="8">
        <f>CN17/CN20*100</f>
        <v>0.56220511547057361</v>
      </c>
      <c r="CN17" s="8">
        <f t="shared" si="7"/>
        <v>396.2</v>
      </c>
      <c r="CO17" s="8"/>
      <c r="CP17" s="8"/>
      <c r="CQ17" s="8"/>
      <c r="CR17" s="8"/>
      <c r="CS17" s="8"/>
      <c r="CT17" s="8"/>
      <c r="CU17" s="8">
        <v>396.2</v>
      </c>
      <c r="CV17" s="8"/>
      <c r="CX17" s="10" t="s">
        <v>194</v>
      </c>
      <c r="CY17" s="8">
        <f>CZ17/CZ20*100</f>
        <v>0.45180534754310897</v>
      </c>
      <c r="CZ17" s="10">
        <f t="shared" si="8"/>
        <v>325.5</v>
      </c>
      <c r="DC17" s="10"/>
      <c r="DD17" s="10"/>
      <c r="DE17" s="10"/>
      <c r="DF17" s="10"/>
      <c r="DG17" s="10">
        <v>325.5</v>
      </c>
      <c r="DH17" s="8"/>
      <c r="DI17" s="17"/>
      <c r="DJ17" s="10" t="s">
        <v>199</v>
      </c>
      <c r="DK17" s="8">
        <f>DL17/DL19*100</f>
        <v>0.48446403735366356</v>
      </c>
      <c r="DL17" s="10">
        <f t="shared" si="9"/>
        <v>355.3</v>
      </c>
      <c r="DO17" s="8"/>
      <c r="DP17" s="8"/>
      <c r="DQ17" s="8"/>
      <c r="DR17" s="8"/>
      <c r="DS17" s="8"/>
      <c r="DT17" s="8">
        <v>355.3</v>
      </c>
    </row>
    <row r="18" spans="1:124" s="5" customFormat="1">
      <c r="A18" s="5" t="s">
        <v>166</v>
      </c>
      <c r="B18" s="5">
        <f>C18/C33*100</f>
        <v>0.65188044409996859</v>
      </c>
      <c r="C18" s="5">
        <f t="shared" si="2"/>
        <v>127</v>
      </c>
      <c r="H18" s="5">
        <v>127</v>
      </c>
      <c r="K18" s="11" t="s">
        <v>166</v>
      </c>
      <c r="L18" s="5">
        <f>M18/M35*100</f>
        <v>0.73296936818645153</v>
      </c>
      <c r="M18" s="5">
        <f t="shared" si="10"/>
        <v>169.7</v>
      </c>
      <c r="P18" s="11"/>
      <c r="Q18" s="11"/>
      <c r="R18" s="11">
        <v>169.7</v>
      </c>
      <c r="S18" s="11"/>
      <c r="U18" s="5" t="s">
        <v>160</v>
      </c>
      <c r="V18" s="5">
        <f>W18/W34*100</f>
        <v>0.86474563131625959</v>
      </c>
      <c r="W18" s="5">
        <f t="shared" si="0"/>
        <v>216.4</v>
      </c>
      <c r="Z18" s="5">
        <v>142.4</v>
      </c>
      <c r="AC18" s="5">
        <v>74</v>
      </c>
      <c r="AE18" s="5" t="s">
        <v>163</v>
      </c>
      <c r="AF18" s="5">
        <f>AG18/AG30*100</f>
        <v>1.1076741046563219</v>
      </c>
      <c r="AG18" s="5">
        <f t="shared" si="3"/>
        <v>352</v>
      </c>
      <c r="AL18" s="5">
        <v>352</v>
      </c>
      <c r="AP18" s="5" t="s">
        <v>190</v>
      </c>
      <c r="AQ18" s="5">
        <f>AR18/AR27*100</f>
        <v>0.92248130303872211</v>
      </c>
      <c r="AR18" s="5">
        <f t="shared" si="4"/>
        <v>408.40000000000003</v>
      </c>
      <c r="AU18" s="5">
        <v>30.1</v>
      </c>
      <c r="AV18" s="5">
        <v>341.1</v>
      </c>
      <c r="AW18" s="5">
        <v>37.200000000000003</v>
      </c>
      <c r="BB18" s="5" t="s">
        <v>176</v>
      </c>
      <c r="BC18" s="5">
        <f>BD18/BD31*100</f>
        <v>0.54653991727425144</v>
      </c>
      <c r="BD18" s="5">
        <f t="shared" si="5"/>
        <v>286.2</v>
      </c>
      <c r="BJ18" s="5">
        <v>286.2</v>
      </c>
      <c r="BN18" s="15" t="s">
        <v>186</v>
      </c>
      <c r="BO18" s="15"/>
      <c r="BP18" s="15">
        <f>SUM(BQ18:BX18)</f>
        <v>65166.700000000004</v>
      </c>
      <c r="BQ18" s="15">
        <v>18000</v>
      </c>
      <c r="BR18" s="15">
        <v>16200</v>
      </c>
      <c r="BS18" s="15">
        <v>6200</v>
      </c>
      <c r="BT18" s="15">
        <v>6953.5</v>
      </c>
      <c r="BU18" s="15">
        <v>6312.9</v>
      </c>
      <c r="BV18" s="15">
        <v>1969.5</v>
      </c>
      <c r="BW18" s="15">
        <f>5434.3+2394.4</f>
        <v>7828.7000000000007</v>
      </c>
      <c r="BX18" s="15">
        <v>1702.1</v>
      </c>
      <c r="BZ18" s="5" t="s">
        <v>84</v>
      </c>
      <c r="CA18" s="5">
        <v>27.3</v>
      </c>
      <c r="CL18" s="8" t="s">
        <v>199</v>
      </c>
      <c r="CM18" s="8">
        <f>CN18/CN20*100</f>
        <v>0.23072829827237573</v>
      </c>
      <c r="CN18" s="8">
        <f t="shared" si="7"/>
        <v>162.6</v>
      </c>
      <c r="CO18" s="8"/>
      <c r="CP18" s="8"/>
      <c r="CQ18" s="8"/>
      <c r="CR18" s="8"/>
      <c r="CS18" s="8"/>
      <c r="CT18" s="8"/>
      <c r="CU18" s="8"/>
      <c r="CV18" s="8">
        <v>162.6</v>
      </c>
      <c r="CX18" s="10" t="s">
        <v>199</v>
      </c>
      <c r="CY18" s="8">
        <f>CZ18/CZ20*100</f>
        <v>0.31883160777466091</v>
      </c>
      <c r="CZ18" s="10">
        <f t="shared" si="8"/>
        <v>229.7</v>
      </c>
      <c r="DC18" s="8"/>
      <c r="DD18" s="8"/>
      <c r="DE18" s="8"/>
      <c r="DF18" s="8"/>
      <c r="DG18" s="8"/>
      <c r="DH18" s="8">
        <v>229.7</v>
      </c>
      <c r="DI18" s="17"/>
      <c r="DJ18" s="10" t="s">
        <v>202</v>
      </c>
      <c r="DK18" s="8">
        <f>DL18/DL19*100</f>
        <v>0.29452359152375829</v>
      </c>
      <c r="DL18" s="10">
        <f t="shared" si="9"/>
        <v>216</v>
      </c>
      <c r="DO18" s="8"/>
      <c r="DP18" s="8"/>
      <c r="DQ18" s="8"/>
      <c r="DR18" s="8"/>
      <c r="DS18" s="8"/>
      <c r="DT18" s="8">
        <v>216</v>
      </c>
    </row>
    <row r="19" spans="1:124" s="5" customFormat="1">
      <c r="A19" s="8" t="s">
        <v>76</v>
      </c>
      <c r="B19" s="5">
        <f>C19/C33*100</f>
        <v>0.65188044409996859</v>
      </c>
      <c r="C19" s="5">
        <f t="shared" si="2"/>
        <v>127</v>
      </c>
      <c r="D19" s="9">
        <v>127</v>
      </c>
      <c r="K19" s="5" t="s">
        <v>85</v>
      </c>
      <c r="L19" s="5">
        <f>M19/M35*100</f>
        <v>0.68934538104041054</v>
      </c>
      <c r="M19" s="5">
        <f t="shared" si="10"/>
        <v>159.6</v>
      </c>
      <c r="N19" s="11"/>
      <c r="O19" s="11"/>
      <c r="P19" s="5">
        <v>69.8</v>
      </c>
      <c r="Q19" s="5">
        <v>36.799999999999997</v>
      </c>
      <c r="R19" s="5">
        <v>53</v>
      </c>
      <c r="U19" s="5" t="s">
        <v>159</v>
      </c>
      <c r="V19" s="5">
        <f>W19/W34*100</f>
        <v>0.90910180741427471</v>
      </c>
      <c r="W19" s="5">
        <f t="shared" si="0"/>
        <v>227.5</v>
      </c>
      <c r="Z19" s="5">
        <v>227.5</v>
      </c>
      <c r="AE19" s="5" t="s">
        <v>85</v>
      </c>
      <c r="AF19" s="5">
        <f>AG19/AG30*100</f>
        <v>0.75932318594764348</v>
      </c>
      <c r="AG19" s="5">
        <f t="shared" si="3"/>
        <v>241.29999999999998</v>
      </c>
      <c r="AK19" s="5">
        <v>130.6</v>
      </c>
      <c r="AL19" s="5">
        <v>65.099999999999994</v>
      </c>
      <c r="AM19" s="5">
        <v>45.6</v>
      </c>
      <c r="AP19" s="5" t="s">
        <v>86</v>
      </c>
      <c r="AQ19" s="5">
        <f>AR19/AR27*100</f>
        <v>0.92790234889399359</v>
      </c>
      <c r="AR19" s="5">
        <f t="shared" si="4"/>
        <v>410.8</v>
      </c>
      <c r="AX19" s="5">
        <v>410.8</v>
      </c>
      <c r="BB19" s="5" t="s">
        <v>87</v>
      </c>
      <c r="BC19" s="5">
        <f>BD19/BD31*100</f>
        <v>0.456595717051969</v>
      </c>
      <c r="BD19" s="5">
        <f t="shared" si="5"/>
        <v>239.1</v>
      </c>
      <c r="BI19" s="5">
        <v>239.1</v>
      </c>
      <c r="BN19" s="8" t="s">
        <v>121</v>
      </c>
      <c r="BO19" s="8">
        <v>20.399999999999999</v>
      </c>
      <c r="BP19" s="8"/>
      <c r="BQ19" s="8"/>
      <c r="BR19" s="8"/>
      <c r="BS19" s="8"/>
      <c r="BT19" s="8"/>
      <c r="BU19" s="8"/>
      <c r="BV19" s="8"/>
      <c r="BW19" s="8"/>
      <c r="BX19" s="8"/>
      <c r="CL19" s="8" t="s">
        <v>202</v>
      </c>
      <c r="CM19" s="8">
        <f>CN19/CN20*100</f>
        <v>0.1631842207953457</v>
      </c>
      <c r="CN19" s="8">
        <f t="shared" si="7"/>
        <v>115</v>
      </c>
      <c r="CO19" s="8"/>
      <c r="CP19" s="8"/>
      <c r="CQ19" s="8"/>
      <c r="CR19" s="8"/>
      <c r="CS19" s="8"/>
      <c r="CT19" s="8"/>
      <c r="CU19" s="8"/>
      <c r="CV19" s="8">
        <v>115</v>
      </c>
      <c r="CX19" s="10" t="s">
        <v>202</v>
      </c>
      <c r="CY19" s="8">
        <f>CZ19/CZ20*100</f>
        <v>0.18655188543715467</v>
      </c>
      <c r="CZ19" s="10">
        <f t="shared" si="8"/>
        <v>134.4</v>
      </c>
      <c r="DC19" s="8"/>
      <c r="DD19" s="8"/>
      <c r="DE19" s="8"/>
      <c r="DF19" s="8"/>
      <c r="DG19" s="8"/>
      <c r="DH19" s="8">
        <v>134.4</v>
      </c>
      <c r="DI19" s="17"/>
      <c r="DJ19" s="15" t="s">
        <v>88</v>
      </c>
      <c r="DK19" s="15"/>
      <c r="DL19" s="18">
        <f t="shared" si="9"/>
        <v>73338.777000000002</v>
      </c>
      <c r="DM19" s="16">
        <v>15600</v>
      </c>
      <c r="DN19" s="22">
        <v>21200</v>
      </c>
      <c r="DO19" s="22">
        <v>8100</v>
      </c>
      <c r="DP19" s="22">
        <v>8989.6</v>
      </c>
      <c r="DQ19" s="23">
        <v>7281.8940000000002</v>
      </c>
      <c r="DR19" s="15">
        <v>1998.7830000000001</v>
      </c>
      <c r="DS19" s="15">
        <f>2112+4315.5</f>
        <v>6427.5</v>
      </c>
      <c r="DT19" s="15">
        <v>3741</v>
      </c>
    </row>
    <row r="20" spans="1:124" s="5" customFormat="1">
      <c r="A20" s="5" t="s">
        <v>89</v>
      </c>
      <c r="B20" s="5">
        <f>C20/C33*100</f>
        <v>0.5343366474866672</v>
      </c>
      <c r="C20" s="5">
        <f t="shared" si="2"/>
        <v>104.10000000000001</v>
      </c>
      <c r="F20" s="5">
        <v>73.900000000000006</v>
      </c>
      <c r="I20" s="5">
        <v>30.2</v>
      </c>
      <c r="K20" s="5" t="s">
        <v>90</v>
      </c>
      <c r="L20" s="5">
        <f>M20/M35*100</f>
        <v>0.98823448109051337</v>
      </c>
      <c r="M20" s="5">
        <f t="shared" si="10"/>
        <v>228.8</v>
      </c>
      <c r="P20" s="5">
        <v>228.8</v>
      </c>
      <c r="U20" s="5" t="s">
        <v>164</v>
      </c>
      <c r="V20" s="5">
        <f>W20/W34*100</f>
        <v>0.674133955651816</v>
      </c>
      <c r="W20" s="5">
        <f t="shared" si="0"/>
        <v>168.7</v>
      </c>
      <c r="Z20" s="5">
        <v>168.7</v>
      </c>
      <c r="AE20" s="5" t="s">
        <v>170</v>
      </c>
      <c r="AF20" s="5">
        <f>AG20/AG30*100</f>
        <v>0.75271490293690968</v>
      </c>
      <c r="AG20" s="5">
        <f t="shared" si="3"/>
        <v>239.2</v>
      </c>
      <c r="AL20" s="5">
        <v>169.5</v>
      </c>
      <c r="AN20" s="5">
        <v>69.7</v>
      </c>
      <c r="AP20" s="5" t="s">
        <v>170</v>
      </c>
      <c r="AQ20" s="5">
        <f>AR20/AR27*100</f>
        <v>0.8235472161800147</v>
      </c>
      <c r="AR20" s="5">
        <f t="shared" si="4"/>
        <v>364.59999999999997</v>
      </c>
      <c r="AW20" s="5">
        <v>266.39999999999998</v>
      </c>
      <c r="AY20" s="5">
        <v>98.2</v>
      </c>
      <c r="BB20" s="5" t="s">
        <v>185</v>
      </c>
      <c r="BC20" s="5">
        <f>BD20/BD31*100</f>
        <v>0.31108089631018715</v>
      </c>
      <c r="BD20" s="5">
        <f t="shared" si="5"/>
        <v>162.9</v>
      </c>
      <c r="BK20" s="5">
        <v>162.9</v>
      </c>
      <c r="CL20" s="15" t="s">
        <v>186</v>
      </c>
      <c r="CM20" s="15"/>
      <c r="CN20" s="15">
        <f t="shared" si="7"/>
        <v>70472.5</v>
      </c>
      <c r="CO20" s="15">
        <v>16400</v>
      </c>
      <c r="CP20" s="15">
        <v>19300</v>
      </c>
      <c r="CQ20" s="15">
        <v>7200</v>
      </c>
      <c r="CR20" s="15">
        <v>8588.2999999999993</v>
      </c>
      <c r="CS20" s="15">
        <v>7249.8</v>
      </c>
      <c r="CT20" s="15">
        <v>2025.6</v>
      </c>
      <c r="CU20" s="15">
        <f>4831.8+2088</f>
        <v>6919.8</v>
      </c>
      <c r="CV20" s="15">
        <v>2789</v>
      </c>
      <c r="CX20" s="15" t="s">
        <v>91</v>
      </c>
      <c r="CY20" s="15"/>
      <c r="CZ20" s="18">
        <f t="shared" si="8"/>
        <v>72044.299999999988</v>
      </c>
      <c r="DA20" s="14">
        <v>15900</v>
      </c>
      <c r="DB20" s="14">
        <v>20317</v>
      </c>
      <c r="DC20" s="15">
        <v>7625</v>
      </c>
      <c r="DD20" s="20">
        <v>8757</v>
      </c>
      <c r="DE20" s="15">
        <v>7387.5</v>
      </c>
      <c r="DF20" s="15">
        <v>2017.9</v>
      </c>
      <c r="DG20" s="15">
        <f>4720.5+2100</f>
        <v>6820.5</v>
      </c>
      <c r="DH20" s="15">
        <v>3219.4</v>
      </c>
      <c r="DI20" s="17"/>
      <c r="DJ20" s="8" t="s">
        <v>121</v>
      </c>
      <c r="DK20" s="8">
        <v>55.953467534129999</v>
      </c>
      <c r="DL20" s="8"/>
      <c r="DO20" s="8"/>
      <c r="DP20" s="8"/>
      <c r="DQ20" s="8"/>
      <c r="DR20" s="8"/>
      <c r="DS20" s="8"/>
      <c r="DT20" s="8"/>
    </row>
    <row r="21" spans="1:124" s="5" customFormat="1">
      <c r="A21" s="5" t="s">
        <v>92</v>
      </c>
      <c r="B21" s="5">
        <f>C21/C33*100</f>
        <v>0.43527135165100267</v>
      </c>
      <c r="C21" s="5">
        <f t="shared" si="2"/>
        <v>84.8</v>
      </c>
      <c r="F21" s="5">
        <v>84.8</v>
      </c>
      <c r="G21" s="7"/>
      <c r="H21" s="7"/>
      <c r="K21" s="5" t="s">
        <v>93</v>
      </c>
      <c r="L21" s="5">
        <f>M21/M35*100</f>
        <v>0.61159966137419886</v>
      </c>
      <c r="M21" s="5">
        <f t="shared" si="10"/>
        <v>141.6</v>
      </c>
      <c r="P21" s="5">
        <v>141.6</v>
      </c>
      <c r="U21" s="5" t="s">
        <v>183</v>
      </c>
      <c r="V21" s="5">
        <f>W21/W34*100</f>
        <v>1.5520665582404582</v>
      </c>
      <c r="W21" s="5">
        <f t="shared" si="0"/>
        <v>388.4</v>
      </c>
      <c r="X21" s="11"/>
      <c r="Y21" s="11"/>
      <c r="Z21" s="5">
        <v>105.5</v>
      </c>
      <c r="AA21" s="5">
        <v>48.8</v>
      </c>
      <c r="AB21" s="5">
        <f>188.7+45.4</f>
        <v>234.1</v>
      </c>
      <c r="AE21" s="5" t="s">
        <v>174</v>
      </c>
      <c r="AF21" s="5">
        <f>AG21/AG30*100</f>
        <v>0.68033846996220682</v>
      </c>
      <c r="AG21" s="5">
        <f t="shared" si="3"/>
        <v>216.2</v>
      </c>
      <c r="AL21" s="5">
        <v>216.2</v>
      </c>
      <c r="AP21" s="5" t="s">
        <v>94</v>
      </c>
      <c r="AQ21" s="5">
        <f>AR21/AR27*100</f>
        <v>0.60760888961169501</v>
      </c>
      <c r="AR21" s="5">
        <f t="shared" si="4"/>
        <v>269</v>
      </c>
      <c r="AS21" s="5">
        <v>269</v>
      </c>
      <c r="BA21" s="17"/>
      <c r="BB21" s="5" t="s">
        <v>0</v>
      </c>
      <c r="BC21" s="5">
        <f>BD21/BD31*100</f>
        <v>0.36054065821585835</v>
      </c>
      <c r="BD21" s="5">
        <f t="shared" si="5"/>
        <v>188.79999999999998</v>
      </c>
      <c r="BE21" s="11">
        <v>27.4</v>
      </c>
      <c r="BF21" s="11"/>
      <c r="BG21" s="5">
        <v>20.7</v>
      </c>
      <c r="BH21" s="5">
        <v>140.69999999999999</v>
      </c>
      <c r="BN21" s="8"/>
      <c r="BO21" s="8"/>
      <c r="BP21" s="8"/>
      <c r="BQ21" s="8"/>
      <c r="BR21" s="8"/>
      <c r="BS21" s="8"/>
      <c r="BT21" s="8"/>
      <c r="BU21" s="8"/>
      <c r="BV21" s="8"/>
      <c r="BW21" s="8"/>
      <c r="BX21" s="8"/>
      <c r="CL21" s="8" t="s">
        <v>121</v>
      </c>
      <c r="CM21" s="8">
        <v>56.530924682850134</v>
      </c>
      <c r="CN21" s="8"/>
      <c r="CO21" s="8"/>
      <c r="CP21" s="8"/>
      <c r="CQ21" s="8"/>
      <c r="CR21" s="8"/>
      <c r="CS21" s="8"/>
      <c r="CT21" s="8"/>
      <c r="CU21" s="8"/>
      <c r="CV21" s="8"/>
      <c r="CX21" s="8" t="s">
        <v>121</v>
      </c>
      <c r="CY21" s="8">
        <v>55.953467534129999</v>
      </c>
      <c r="CZ21" s="8"/>
      <c r="DC21" s="8"/>
      <c r="DD21" s="8"/>
      <c r="DE21" s="8"/>
      <c r="DF21" s="8"/>
      <c r="DG21" s="8"/>
      <c r="DH21" s="8"/>
    </row>
    <row r="22" spans="1:124" s="5" customFormat="1">
      <c r="A22" s="5" t="s">
        <v>163</v>
      </c>
      <c r="B22" s="5">
        <f>C22/C33*100</f>
        <v>0.43527135165100267</v>
      </c>
      <c r="C22" s="5">
        <f t="shared" si="2"/>
        <v>84.8</v>
      </c>
      <c r="F22" s="5">
        <v>84.8</v>
      </c>
      <c r="K22" s="5" t="s">
        <v>173</v>
      </c>
      <c r="L22" s="5">
        <f>M22/M35*100</f>
        <v>0.33689811855358409</v>
      </c>
      <c r="M22" s="5">
        <f t="shared" si="10"/>
        <v>78</v>
      </c>
      <c r="R22" s="5">
        <v>78</v>
      </c>
      <c r="U22" s="5" t="s">
        <v>241</v>
      </c>
      <c r="V22" s="5">
        <f>W22/W34*100</f>
        <v>0.68052763869297128</v>
      </c>
      <c r="W22" s="5">
        <f t="shared" si="0"/>
        <v>170.29999999999998</v>
      </c>
      <c r="AA22" s="5">
        <v>164.6</v>
      </c>
      <c r="AC22" s="5">
        <v>5.7</v>
      </c>
      <c r="AD22" s="11"/>
      <c r="AE22" s="5" t="s">
        <v>166</v>
      </c>
      <c r="AF22" s="5">
        <f>AG22/AG30*100</f>
        <v>0.59380143053593171</v>
      </c>
      <c r="AG22" s="5">
        <f t="shared" si="3"/>
        <v>188.7</v>
      </c>
      <c r="AM22" s="5">
        <v>188.7</v>
      </c>
      <c r="AP22" s="5" t="s">
        <v>175</v>
      </c>
      <c r="AQ22" s="5">
        <f>AR22/AR27*100</f>
        <v>0.56130412293124976</v>
      </c>
      <c r="AR22" s="5">
        <f t="shared" si="4"/>
        <v>248.5</v>
      </c>
      <c r="AW22" s="5">
        <v>207.7</v>
      </c>
      <c r="AY22" s="5">
        <v>40.799999999999997</v>
      </c>
      <c r="BB22" s="5" t="s">
        <v>193</v>
      </c>
      <c r="BC22" s="5">
        <f>BD22/BD31*100</f>
        <v>0.36015872955249417</v>
      </c>
      <c r="BD22" s="5">
        <f t="shared" si="5"/>
        <v>188.6</v>
      </c>
      <c r="BJ22" s="5">
        <v>188.6</v>
      </c>
      <c r="BN22" s="8"/>
      <c r="BP22" s="8"/>
      <c r="BQ22" s="8"/>
      <c r="BR22" s="8"/>
      <c r="BS22" s="8"/>
      <c r="BT22" s="8"/>
      <c r="BU22" s="8"/>
      <c r="BV22" s="8"/>
      <c r="BW22" s="8"/>
      <c r="BX22" s="8"/>
      <c r="CN22" s="8"/>
      <c r="CO22" s="8"/>
      <c r="CP22" s="8"/>
      <c r="CQ22" s="8"/>
      <c r="CR22" s="8"/>
      <c r="CS22" s="8"/>
      <c r="CT22" s="8"/>
      <c r="CU22" s="8"/>
      <c r="CV22" s="8"/>
      <c r="CW22" s="8"/>
      <c r="CZ22" s="8"/>
      <c r="DC22" s="8"/>
      <c r="DD22" s="8"/>
      <c r="DE22" s="8"/>
      <c r="DF22" s="8"/>
      <c r="DG22" s="8"/>
      <c r="DH22" s="8"/>
      <c r="DI22" s="8"/>
      <c r="DL22" s="8"/>
      <c r="DO22" s="8"/>
      <c r="DP22" s="8"/>
      <c r="DQ22" s="23"/>
      <c r="DR22" s="8"/>
      <c r="DS22" s="8"/>
      <c r="DT22" s="8"/>
    </row>
    <row r="23" spans="1:124" s="5" customFormat="1">
      <c r="A23" s="5" t="s">
        <v>1</v>
      </c>
      <c r="B23" s="5">
        <f>C23/C33*100</f>
        <v>0.29103638724778125</v>
      </c>
      <c r="C23" s="5">
        <f t="shared" si="2"/>
        <v>56.7</v>
      </c>
      <c r="D23" s="11"/>
      <c r="E23" s="11"/>
      <c r="H23" s="5">
        <v>56.7</v>
      </c>
      <c r="K23" s="5" t="s">
        <v>2</v>
      </c>
      <c r="L23" s="5">
        <f>M23/M35*100</f>
        <v>0.48807035123788467</v>
      </c>
      <c r="M23" s="5">
        <f t="shared" si="10"/>
        <v>113</v>
      </c>
      <c r="P23" s="5">
        <v>113</v>
      </c>
      <c r="U23" s="5" t="s">
        <v>3</v>
      </c>
      <c r="V23" s="5">
        <f>W23/W34*100</f>
        <v>0.36364072296570987</v>
      </c>
      <c r="W23" s="5">
        <f t="shared" si="0"/>
        <v>91</v>
      </c>
      <c r="AB23" s="5">
        <v>91</v>
      </c>
      <c r="AE23" s="5" t="s">
        <v>4</v>
      </c>
      <c r="AF23" s="5">
        <f>AG23/AG30*100</f>
        <v>0.48146061935345813</v>
      </c>
      <c r="AG23" s="5">
        <f t="shared" si="3"/>
        <v>153</v>
      </c>
      <c r="AH23" s="11"/>
      <c r="AI23" s="11"/>
      <c r="AJ23" s="5">
        <v>0.2</v>
      </c>
      <c r="AK23" s="5">
        <v>152.80000000000001</v>
      </c>
      <c r="AP23" s="5" t="s">
        <v>5</v>
      </c>
      <c r="AQ23" s="5">
        <f>AR23/AR27*100</f>
        <v>0.35891841100110905</v>
      </c>
      <c r="AR23" s="5">
        <f t="shared" si="4"/>
        <v>158.9</v>
      </c>
      <c r="AV23" s="5">
        <v>158.9</v>
      </c>
      <c r="BB23" s="5" t="s">
        <v>6</v>
      </c>
      <c r="BC23" s="5">
        <f>BD23/BD31*100</f>
        <v>0.24118795091452816</v>
      </c>
      <c r="BD23" s="5">
        <f t="shared" si="5"/>
        <v>126.3</v>
      </c>
      <c r="BJ23" s="5">
        <v>126.3</v>
      </c>
      <c r="BN23" s="77"/>
      <c r="BO23" s="77"/>
      <c r="BP23" s="77"/>
      <c r="BQ23" s="77"/>
      <c r="BR23" s="77"/>
      <c r="BS23" s="77"/>
      <c r="BT23" s="77"/>
      <c r="BU23" s="77"/>
      <c r="BV23" s="77"/>
      <c r="BW23" s="15"/>
      <c r="BX23" s="16"/>
      <c r="CN23" s="8"/>
      <c r="CO23" s="8"/>
      <c r="CP23" s="8"/>
      <c r="CQ23" s="8"/>
      <c r="CR23" s="8"/>
      <c r="CS23" s="8"/>
      <c r="CT23" s="8"/>
      <c r="CU23" s="8"/>
      <c r="CV23" s="8"/>
      <c r="CZ23" s="15"/>
      <c r="DC23" s="8"/>
      <c r="DD23" s="8"/>
      <c r="DE23" s="8"/>
      <c r="DF23" s="8"/>
      <c r="DG23" s="8"/>
      <c r="DH23" s="8"/>
      <c r="DL23" s="15"/>
      <c r="DO23" s="8"/>
      <c r="DP23" s="20"/>
      <c r="DQ23" s="78"/>
      <c r="DR23" s="8"/>
      <c r="DS23" s="8"/>
      <c r="DT23" s="8"/>
    </row>
    <row r="24" spans="1:124" s="5" customFormat="1">
      <c r="A24" s="5" t="s">
        <v>188</v>
      </c>
      <c r="B24" s="5">
        <f>C24/C33*100</f>
        <v>0.29976234594833201</v>
      </c>
      <c r="C24" s="5">
        <f t="shared" si="2"/>
        <v>58.4</v>
      </c>
      <c r="F24" s="5">
        <v>58.4</v>
      </c>
      <c r="K24" s="5" t="s">
        <v>184</v>
      </c>
      <c r="L24" s="5">
        <f>M24/M35*100</f>
        <v>0.28852300409460796</v>
      </c>
      <c r="M24" s="5">
        <f t="shared" si="10"/>
        <v>66.800000000000011</v>
      </c>
      <c r="P24" s="5">
        <v>17.600000000000001</v>
      </c>
      <c r="Q24" s="5">
        <v>31.8</v>
      </c>
      <c r="S24" s="5">
        <v>17.399999999999999</v>
      </c>
      <c r="U24" s="5" t="s">
        <v>166</v>
      </c>
      <c r="V24" s="5">
        <f>W24/W34*100</f>
        <v>0.64656119753683361</v>
      </c>
      <c r="W24" s="5">
        <f t="shared" si="0"/>
        <v>161.80000000000001</v>
      </c>
      <c r="AB24" s="5">
        <v>161.80000000000001</v>
      </c>
      <c r="AE24" s="5" t="s">
        <v>188</v>
      </c>
      <c r="AF24" s="5">
        <f>AG24/AG30*100</f>
        <v>0.92484494135935502</v>
      </c>
      <c r="AG24" s="5">
        <f t="shared" si="3"/>
        <v>293.89999999999998</v>
      </c>
      <c r="AK24" s="5">
        <v>275.89999999999998</v>
      </c>
      <c r="AL24" s="5">
        <v>18</v>
      </c>
      <c r="AP24" s="5" t="s">
        <v>0</v>
      </c>
      <c r="AQ24" s="5">
        <f>AR24/AR27*100</f>
        <v>0.26359835471258292</v>
      </c>
      <c r="AR24" s="5">
        <f t="shared" si="4"/>
        <v>116.7</v>
      </c>
      <c r="AS24" s="11">
        <v>2.1</v>
      </c>
      <c r="AT24" s="11"/>
      <c r="AU24" s="5">
        <v>1.4</v>
      </c>
      <c r="AV24" s="5">
        <v>113.2</v>
      </c>
      <c r="BB24" s="5" t="s">
        <v>201</v>
      </c>
      <c r="BC24" s="5">
        <f>BD24/BD31*100</f>
        <v>0.21139751517211613</v>
      </c>
      <c r="BD24" s="5">
        <f t="shared" si="5"/>
        <v>110.7</v>
      </c>
      <c r="BJ24" s="5">
        <v>110.7</v>
      </c>
      <c r="BN24" s="8"/>
      <c r="BO24" s="8"/>
      <c r="BP24" s="8"/>
      <c r="BQ24" s="8"/>
      <c r="BR24" s="8"/>
      <c r="BS24" s="8"/>
      <c r="BT24" s="8"/>
      <c r="BU24" s="8"/>
      <c r="BV24" s="8"/>
      <c r="BW24" s="8"/>
      <c r="BX24" s="8"/>
      <c r="DQ24" s="78"/>
    </row>
    <row r="25" spans="1:124" s="5" customFormat="1">
      <c r="A25" s="5" t="s">
        <v>195</v>
      </c>
      <c r="B25" s="5">
        <f>C25/C33*100</f>
        <v>0.21866225920203672</v>
      </c>
      <c r="C25" s="5">
        <f t="shared" si="2"/>
        <v>42.6</v>
      </c>
      <c r="H25" s="5">
        <v>42.6</v>
      </c>
      <c r="K25" s="5" t="s">
        <v>7</v>
      </c>
      <c r="L25" s="5">
        <f>M25/M35*100</f>
        <v>0.31314248198890832</v>
      </c>
      <c r="M25" s="5">
        <f t="shared" si="10"/>
        <v>72.5</v>
      </c>
      <c r="P25" s="5">
        <v>72.5</v>
      </c>
      <c r="U25" s="5" t="s">
        <v>155</v>
      </c>
      <c r="V25" s="5">
        <f>W25/W34*100</f>
        <v>0.43836689350921287</v>
      </c>
      <c r="W25" s="5">
        <f t="shared" si="0"/>
        <v>109.7</v>
      </c>
      <c r="AA25" s="5">
        <v>109.7</v>
      </c>
      <c r="AE25" s="5" t="s">
        <v>8</v>
      </c>
      <c r="AF25" s="5">
        <f>AG25/AG30*100</f>
        <v>0.34646283784846887</v>
      </c>
      <c r="AG25" s="5">
        <f t="shared" si="3"/>
        <v>110.1</v>
      </c>
      <c r="AL25" s="5">
        <v>110.1</v>
      </c>
      <c r="AP25" s="5" t="s">
        <v>9</v>
      </c>
      <c r="AQ25" s="5">
        <f>AR25/AR27*100</f>
        <v>0.22881331047458997</v>
      </c>
      <c r="AR25" s="5">
        <f t="shared" si="4"/>
        <v>101.3</v>
      </c>
      <c r="AW25" s="5">
        <v>101.3</v>
      </c>
      <c r="BB25" s="11" t="s">
        <v>10</v>
      </c>
      <c r="BC25" s="5">
        <f>BD25/BD31*100</f>
        <v>0.14780639272196741</v>
      </c>
      <c r="BD25" s="5">
        <f t="shared" si="5"/>
        <v>77.400000000000006</v>
      </c>
      <c r="BG25" s="11"/>
      <c r="BH25" s="11"/>
      <c r="BI25" s="11"/>
      <c r="BJ25" s="11">
        <v>77.400000000000006</v>
      </c>
      <c r="BK25" s="11"/>
      <c r="BL25" s="11"/>
      <c r="BN25" s="61"/>
      <c r="BO25" s="8"/>
      <c r="BP25" s="8"/>
      <c r="BQ25" s="8"/>
      <c r="BR25" s="8"/>
      <c r="BS25" s="8"/>
      <c r="BT25" s="8"/>
      <c r="BU25" s="8"/>
      <c r="BV25" s="8"/>
      <c r="BW25" s="8"/>
      <c r="BX25" s="8"/>
      <c r="CB25" s="29"/>
      <c r="CO25" s="79"/>
      <c r="DC25" s="8"/>
      <c r="DO25" s="8"/>
    </row>
    <row r="26" spans="1:124" s="5" customFormat="1">
      <c r="A26" s="5" t="s">
        <v>5</v>
      </c>
      <c r="B26" s="5">
        <f>C26/C33*100</f>
        <v>0.22020213426683977</v>
      </c>
      <c r="C26" s="5">
        <f t="shared" si="2"/>
        <v>42.9</v>
      </c>
      <c r="G26" s="5">
        <v>30.7</v>
      </c>
      <c r="I26" s="5">
        <v>12.2</v>
      </c>
      <c r="J26" s="11"/>
      <c r="K26" s="5" t="s">
        <v>11</v>
      </c>
      <c r="L26" s="5">
        <f>M26/M35*100</f>
        <v>0.2526735889151881</v>
      </c>
      <c r="M26" s="5">
        <f t="shared" si="10"/>
        <v>58.5</v>
      </c>
      <c r="R26" s="5">
        <v>58.5</v>
      </c>
      <c r="U26" s="5" t="s">
        <v>12</v>
      </c>
      <c r="V26" s="5">
        <f>W26/W34*100</f>
        <v>0.3800245357586704</v>
      </c>
      <c r="W26" s="5">
        <f t="shared" si="0"/>
        <v>95.1</v>
      </c>
      <c r="Z26" s="5">
        <v>95.1</v>
      </c>
      <c r="AE26" s="5" t="s">
        <v>13</v>
      </c>
      <c r="AF26" s="5">
        <f>AG26/AG30*100</f>
        <v>2.2424107016423158</v>
      </c>
      <c r="AG26" s="5">
        <f t="shared" si="3"/>
        <v>712.6</v>
      </c>
      <c r="AH26" s="5">
        <v>712.6</v>
      </c>
      <c r="AP26" s="5" t="s">
        <v>14</v>
      </c>
      <c r="AQ26" s="5">
        <f>AR26/AR27*100</f>
        <v>0.22294051079804572</v>
      </c>
      <c r="AR26" s="5">
        <f t="shared" si="4"/>
        <v>98.7</v>
      </c>
      <c r="AX26" s="5">
        <v>98.7</v>
      </c>
      <c r="BB26" s="5" t="s">
        <v>15</v>
      </c>
      <c r="BC26" s="5">
        <f>BD26/BD31*100</f>
        <v>0.15544496598925253</v>
      </c>
      <c r="BD26" s="5">
        <f t="shared" si="5"/>
        <v>81.400000000000006</v>
      </c>
      <c r="BJ26" s="6">
        <v>81.400000000000006</v>
      </c>
      <c r="BN26" s="8"/>
      <c r="BO26" s="8"/>
      <c r="BP26" s="8"/>
      <c r="BQ26" s="8"/>
      <c r="BR26" s="8"/>
      <c r="BS26" s="8"/>
      <c r="BT26" s="8"/>
      <c r="BU26" s="8"/>
      <c r="BV26" s="8"/>
      <c r="BW26" s="8"/>
      <c r="BX26" s="8"/>
      <c r="BZ26" s="11"/>
      <c r="CB26" s="29"/>
      <c r="CO26" s="79"/>
      <c r="DC26" s="8"/>
      <c r="DE26" s="79"/>
      <c r="DF26" s="17"/>
      <c r="DK26" s="80"/>
      <c r="DL26" s="80"/>
      <c r="DO26" s="81"/>
      <c r="DQ26" s="79"/>
      <c r="DR26" s="17"/>
    </row>
    <row r="27" spans="1:124" s="11" customFormat="1">
      <c r="A27" s="5" t="s">
        <v>16</v>
      </c>
      <c r="B27" s="5">
        <f>C27/C33*100</f>
        <v>0.20582996699534442</v>
      </c>
      <c r="C27" s="5">
        <f t="shared" si="2"/>
        <v>40.1</v>
      </c>
      <c r="D27" s="5"/>
      <c r="E27" s="5"/>
      <c r="F27" s="5"/>
      <c r="G27" s="5">
        <v>35</v>
      </c>
      <c r="H27" s="5"/>
      <c r="I27" s="5">
        <v>5.0999999999999996</v>
      </c>
      <c r="J27" s="5"/>
      <c r="K27" s="5" t="s">
        <v>16</v>
      </c>
      <c r="L27" s="5">
        <f>M27/M35*100</f>
        <v>0.28809108342979567</v>
      </c>
      <c r="M27" s="5">
        <f t="shared" si="10"/>
        <v>66.7</v>
      </c>
      <c r="N27" s="5"/>
      <c r="O27" s="5"/>
      <c r="P27" s="5"/>
      <c r="Q27" s="5">
        <v>62.5</v>
      </c>
      <c r="R27" s="5"/>
      <c r="S27" s="5">
        <v>4.2</v>
      </c>
      <c r="T27" s="5"/>
      <c r="U27" s="5" t="s">
        <v>167</v>
      </c>
      <c r="V27" s="5">
        <f>W27/W34*100</f>
        <v>0.35524901397419351</v>
      </c>
      <c r="W27" s="5">
        <f t="shared" si="0"/>
        <v>88.9</v>
      </c>
      <c r="X27" s="5"/>
      <c r="Y27" s="5"/>
      <c r="Z27" s="5">
        <v>88.9</v>
      </c>
      <c r="AA27" s="5"/>
      <c r="AB27" s="5"/>
      <c r="AC27" s="5"/>
      <c r="AD27" s="5"/>
      <c r="AE27" s="5" t="s">
        <v>17</v>
      </c>
      <c r="AF27" s="5">
        <f>AG27/AG30*100</f>
        <v>0.24828263311756762</v>
      </c>
      <c r="AG27" s="5">
        <f t="shared" si="3"/>
        <v>78.900000000000006</v>
      </c>
      <c r="AH27" s="5"/>
      <c r="AI27" s="5"/>
      <c r="AJ27" s="5"/>
      <c r="AK27" s="5"/>
      <c r="AL27" s="5"/>
      <c r="AM27" s="5">
        <v>78.900000000000006</v>
      </c>
      <c r="AN27" s="5"/>
      <c r="AO27" s="5"/>
      <c r="AP27" s="15" t="s">
        <v>91</v>
      </c>
      <c r="AQ27" s="14"/>
      <c r="AR27" s="14">
        <f>SUM(AS27:AZ27)</f>
        <v>44271.9</v>
      </c>
      <c r="AS27" s="76">
        <v>21200</v>
      </c>
      <c r="AT27" s="14">
        <v>5400</v>
      </c>
      <c r="AU27" s="14">
        <v>1800</v>
      </c>
      <c r="AV27" s="14">
        <v>4218.5</v>
      </c>
      <c r="AW27" s="14">
        <v>4353.8999999999996</v>
      </c>
      <c r="AX27" s="14">
        <f>1300+4668.6</f>
        <v>5968.6</v>
      </c>
      <c r="AY27" s="21">
        <v>1330.9</v>
      </c>
      <c r="BA27" s="5"/>
      <c r="BB27" s="5" t="s">
        <v>17</v>
      </c>
      <c r="BC27" s="5">
        <f>BD27/BD31*100</f>
        <v>0.18829083103857858</v>
      </c>
      <c r="BD27" s="5">
        <f t="shared" si="5"/>
        <v>98.6</v>
      </c>
      <c r="BE27" s="5"/>
      <c r="BF27" s="5"/>
      <c r="BG27" s="5"/>
      <c r="BH27" s="5"/>
      <c r="BI27" s="5"/>
      <c r="BJ27" s="5">
        <v>98.6</v>
      </c>
      <c r="BK27" s="5"/>
      <c r="BL27" s="5"/>
      <c r="BM27" s="5"/>
      <c r="BN27" s="27"/>
      <c r="BO27" s="27"/>
      <c r="BP27" s="10"/>
      <c r="BQ27" s="5"/>
      <c r="BR27" s="5"/>
      <c r="BS27" s="10"/>
      <c r="BT27" s="8"/>
      <c r="BU27" s="10"/>
      <c r="BV27" s="10"/>
      <c r="BW27" s="8"/>
      <c r="BX27" s="10"/>
      <c r="BY27" s="5"/>
      <c r="BZ27" s="5"/>
      <c r="CA27" s="5"/>
      <c r="CB27" s="5"/>
      <c r="CC27" s="5"/>
      <c r="CD27" s="5"/>
      <c r="CE27" s="5"/>
      <c r="CF27" s="5"/>
      <c r="CG27" s="5"/>
      <c r="CH27" s="5"/>
      <c r="CI27" s="5"/>
      <c r="CJ27" s="5"/>
      <c r="CK27" s="5"/>
      <c r="CL27" s="8"/>
      <c r="CM27" s="8"/>
      <c r="CN27" s="5"/>
      <c r="CO27" s="79"/>
      <c r="CP27" s="5"/>
      <c r="CQ27" s="5"/>
      <c r="CR27" s="5"/>
      <c r="CS27" s="5"/>
      <c r="CT27" s="5"/>
      <c r="CU27" s="5"/>
      <c r="CV27" s="5"/>
      <c r="CW27" s="5"/>
      <c r="CX27" s="8"/>
      <c r="CY27" s="45"/>
      <c r="CZ27" s="5"/>
      <c r="DA27" s="5"/>
      <c r="DB27" s="5"/>
      <c r="DC27" s="8"/>
      <c r="DD27" s="5"/>
      <c r="DF27" s="82">
        <v>2000</v>
      </c>
      <c r="DG27" s="82">
        <v>2004</v>
      </c>
      <c r="DH27" s="82"/>
      <c r="DI27" s="35"/>
      <c r="DJ27" s="83"/>
      <c r="DK27" s="35"/>
      <c r="DL27" s="35"/>
      <c r="DM27" s="5"/>
      <c r="DN27" s="5"/>
      <c r="DO27" s="8"/>
      <c r="DP27" s="5"/>
    </row>
    <row r="28" spans="1:124" s="5" customFormat="1">
      <c r="A28" s="5" t="s">
        <v>189</v>
      </c>
      <c r="B28" s="5">
        <f>C28/C33*100</f>
        <v>0.23662746829140593</v>
      </c>
      <c r="C28" s="5">
        <f t="shared" si="2"/>
        <v>46.1</v>
      </c>
      <c r="H28" s="5">
        <v>46.1</v>
      </c>
      <c r="K28" s="5" t="s">
        <v>204</v>
      </c>
      <c r="L28" s="5">
        <f>M28/M35*100</f>
        <v>0.24878630293187751</v>
      </c>
      <c r="M28" s="5">
        <f t="shared" si="10"/>
        <v>57.6</v>
      </c>
      <c r="Q28" s="5">
        <v>57.6</v>
      </c>
      <c r="U28" s="5" t="s">
        <v>204</v>
      </c>
      <c r="V28" s="5">
        <f>W28/W34*100</f>
        <v>0.33566835966065522</v>
      </c>
      <c r="W28" s="5">
        <f t="shared" si="0"/>
        <v>84</v>
      </c>
      <c r="AA28" s="5">
        <v>84</v>
      </c>
      <c r="AE28" s="5" t="s">
        <v>184</v>
      </c>
      <c r="AF28" s="5">
        <f>AG28/AG30*100</f>
        <v>0.12461333677383624</v>
      </c>
      <c r="AG28" s="5">
        <f t="shared" si="3"/>
        <v>39.6</v>
      </c>
      <c r="AK28" s="5">
        <v>19.8</v>
      </c>
      <c r="AL28" s="5">
        <v>19.8</v>
      </c>
      <c r="BB28" s="5" t="s">
        <v>18</v>
      </c>
      <c r="BC28" s="5">
        <f>BD28/BD31*100</f>
        <v>0.11075931237563448</v>
      </c>
      <c r="BD28" s="5">
        <f t="shared" si="5"/>
        <v>58</v>
      </c>
      <c r="BK28" s="5">
        <v>58</v>
      </c>
      <c r="BZ28" s="10"/>
      <c r="CC28" s="46"/>
      <c r="CD28" s="8"/>
      <c r="CE28" s="10"/>
      <c r="CF28" s="6"/>
      <c r="CG28" s="8"/>
      <c r="CH28" s="10"/>
      <c r="CI28" s="10"/>
      <c r="CJ28" s="10"/>
      <c r="CK28" s="11"/>
      <c r="CM28" s="13"/>
      <c r="CX28" s="8"/>
      <c r="CY28" s="61"/>
      <c r="DF28" s="5">
        <v>141.4</v>
      </c>
      <c r="DG28" s="5">
        <v>364</v>
      </c>
      <c r="DJ28" s="8"/>
      <c r="DK28" s="61"/>
    </row>
    <row r="29" spans="1:124" s="5" customFormat="1">
      <c r="A29" s="5" t="s">
        <v>19</v>
      </c>
      <c r="B29" s="5">
        <f>C29/C33*100</f>
        <v>8.2126670122830689E-2</v>
      </c>
      <c r="C29" s="5">
        <f t="shared" si="2"/>
        <v>16</v>
      </c>
      <c r="H29" s="5">
        <v>16</v>
      </c>
      <c r="K29" s="5" t="s">
        <v>103</v>
      </c>
      <c r="L29" s="5">
        <f>M29/M35*100</f>
        <v>0.24792246160225292</v>
      </c>
      <c r="M29" s="5">
        <f t="shared" si="10"/>
        <v>57.4</v>
      </c>
      <c r="P29" s="5">
        <v>57.4</v>
      </c>
      <c r="U29" s="11" t="s">
        <v>20</v>
      </c>
      <c r="V29" s="5">
        <f>W29/W34*100</f>
        <v>0.2129895663084872</v>
      </c>
      <c r="W29" s="5">
        <f t="shared" si="0"/>
        <v>53.3</v>
      </c>
      <c r="Z29" s="11"/>
      <c r="AA29" s="11"/>
      <c r="AB29" s="11">
        <v>53.3</v>
      </c>
      <c r="AC29" s="11"/>
      <c r="AE29" s="84" t="s">
        <v>0</v>
      </c>
      <c r="AF29" s="5">
        <f>AG29/AG30*100</f>
        <v>0.13814458293867196</v>
      </c>
      <c r="AG29" s="5">
        <f t="shared" si="3"/>
        <v>43.9</v>
      </c>
      <c r="AJ29" s="11"/>
      <c r="AK29" s="11">
        <v>43.9</v>
      </c>
      <c r="AL29" s="11"/>
      <c r="AM29" s="11"/>
      <c r="AN29" s="11"/>
      <c r="AO29" s="11"/>
      <c r="BB29" s="5" t="s">
        <v>21</v>
      </c>
      <c r="BC29" s="5">
        <f>BD29/BD31*100</f>
        <v>7.7722482994626266E-2</v>
      </c>
      <c r="BD29" s="5">
        <f t="shared" si="5"/>
        <v>40.700000000000003</v>
      </c>
      <c r="BJ29" s="5">
        <v>40.700000000000003</v>
      </c>
      <c r="BT29" s="8"/>
      <c r="BU29" s="10"/>
      <c r="BV29" s="10"/>
      <c r="BW29" s="8"/>
      <c r="BX29" s="10"/>
      <c r="BY29" s="11"/>
      <c r="CQ29" s="8"/>
      <c r="CW29" s="11"/>
      <c r="DC29" s="8"/>
      <c r="DD29" s="8"/>
      <c r="DJ29" s="8"/>
      <c r="DK29" s="8"/>
      <c r="DL29" s="8"/>
      <c r="DO29" s="8"/>
      <c r="DP29" s="8"/>
    </row>
    <row r="30" spans="1:124" s="5" customFormat="1">
      <c r="A30" s="5" t="s">
        <v>103</v>
      </c>
      <c r="B30" s="5">
        <f>C30/C33*100</f>
        <v>0.12216342180771066</v>
      </c>
      <c r="C30" s="5">
        <f t="shared" si="2"/>
        <v>23.8</v>
      </c>
      <c r="F30" s="5">
        <v>23.8</v>
      </c>
      <c r="K30" s="5" t="s">
        <v>189</v>
      </c>
      <c r="L30" s="5">
        <f>M30/M35*100</f>
        <v>0.27211001883174102</v>
      </c>
      <c r="M30" s="5">
        <f t="shared" si="10"/>
        <v>63</v>
      </c>
      <c r="R30" s="5">
        <v>63</v>
      </c>
      <c r="U30" s="5" t="s">
        <v>184</v>
      </c>
      <c r="V30" s="5">
        <f>W30/W34*100</f>
        <v>0.27892442267040163</v>
      </c>
      <c r="W30" s="5">
        <f t="shared" si="0"/>
        <v>69.8</v>
      </c>
      <c r="Z30" s="5">
        <v>15.1</v>
      </c>
      <c r="AA30" s="5">
        <v>28.7</v>
      </c>
      <c r="AC30" s="5">
        <v>26</v>
      </c>
      <c r="AE30" s="15" t="s">
        <v>186</v>
      </c>
      <c r="AF30" s="24"/>
      <c r="AG30" s="14">
        <f t="shared" si="3"/>
        <v>31778.300000000003</v>
      </c>
      <c r="AH30" s="14">
        <v>17900</v>
      </c>
      <c r="AI30" s="14">
        <v>2175</v>
      </c>
      <c r="AJ30" s="14">
        <v>239</v>
      </c>
      <c r="AK30" s="14">
        <v>2677.4</v>
      </c>
      <c r="AL30" s="14">
        <v>3366.7</v>
      </c>
      <c r="AM30" s="14">
        <f>3310+1011.2</f>
        <v>4321.2</v>
      </c>
      <c r="AN30" s="14">
        <v>1099</v>
      </c>
      <c r="AO30" s="11"/>
      <c r="AU30" s="11"/>
      <c r="AV30" s="11"/>
      <c r="AW30" s="11"/>
      <c r="AX30" s="11"/>
      <c r="AY30" s="11"/>
      <c r="BB30" s="5" t="s">
        <v>22</v>
      </c>
      <c r="BC30" s="5">
        <f>BD30/BD31*100</f>
        <v>6.4164015445195136E-2</v>
      </c>
      <c r="BD30" s="5">
        <f t="shared" si="5"/>
        <v>33.6</v>
      </c>
      <c r="BK30" s="5">
        <v>33.6</v>
      </c>
      <c r="BQ30" s="45"/>
      <c r="BR30" s="45"/>
      <c r="BT30" s="8"/>
      <c r="BU30" s="10"/>
      <c r="BV30" s="10"/>
      <c r="BW30" s="8"/>
      <c r="BX30" s="10"/>
      <c r="BY30" s="11"/>
      <c r="BZ30" s="11"/>
      <c r="CP30" s="8"/>
      <c r="CQ30" s="8"/>
      <c r="CR30" s="8"/>
      <c r="DB30" s="45"/>
      <c r="DC30" s="8"/>
      <c r="DD30" s="8"/>
      <c r="DN30" s="45"/>
      <c r="DO30" s="8"/>
      <c r="DP30" s="8"/>
    </row>
    <row r="31" spans="1:124" s="5" customFormat="1">
      <c r="A31" s="5" t="s">
        <v>96</v>
      </c>
      <c r="B31" s="5">
        <f>C31/C33*100</f>
        <v>8.2126670122830689E-2</v>
      </c>
      <c r="C31" s="5">
        <f t="shared" si="2"/>
        <v>16</v>
      </c>
      <c r="H31" s="5">
        <v>16</v>
      </c>
      <c r="K31" s="5" t="s">
        <v>190</v>
      </c>
      <c r="L31" s="5">
        <f>M31/M35*100</f>
        <v>0.11100361085675783</v>
      </c>
      <c r="M31" s="5">
        <f t="shared" si="10"/>
        <v>25.7</v>
      </c>
      <c r="Q31" s="5">
        <v>25.7</v>
      </c>
      <c r="U31" s="5" t="s">
        <v>195</v>
      </c>
      <c r="V31" s="5">
        <f>W31/W34*100</f>
        <v>0.23376903619224207</v>
      </c>
      <c r="W31" s="5">
        <f t="shared" si="0"/>
        <v>58.5</v>
      </c>
      <c r="AB31" s="5">
        <v>58.5</v>
      </c>
      <c r="AU31" s="11"/>
      <c r="AV31" s="11"/>
      <c r="AW31" s="11"/>
      <c r="AX31" s="11"/>
      <c r="AY31" s="11"/>
      <c r="BB31" s="15" t="s">
        <v>186</v>
      </c>
      <c r="BC31" s="24"/>
      <c r="BD31" s="14">
        <f>SUM(BE31:BL31)</f>
        <v>52365.8</v>
      </c>
      <c r="BE31" s="23">
        <v>19800</v>
      </c>
      <c r="BF31" s="76">
        <v>9200</v>
      </c>
      <c r="BG31" s="14">
        <v>4200</v>
      </c>
      <c r="BH31" s="14">
        <v>5039.3999999999996</v>
      </c>
      <c r="BI31" s="14">
        <v>5297.5</v>
      </c>
      <c r="BJ31" s="14">
        <f>1847+5033.9</f>
        <v>6880.9</v>
      </c>
      <c r="BK31" s="14">
        <v>1583</v>
      </c>
      <c r="BL31" s="14">
        <v>365</v>
      </c>
      <c r="BT31" s="8"/>
      <c r="BW31" s="8"/>
      <c r="BY31" s="11"/>
      <c r="BZ31" s="11"/>
      <c r="CO31" s="85"/>
      <c r="CP31" s="8"/>
      <c r="CQ31" s="8"/>
      <c r="CR31" s="8"/>
      <c r="DC31" s="8"/>
      <c r="DD31" s="8"/>
      <c r="DO31" s="8"/>
      <c r="DP31" s="8"/>
    </row>
    <row r="32" spans="1:124" s="5" customFormat="1">
      <c r="A32" s="5" t="s">
        <v>23</v>
      </c>
      <c r="B32" s="5">
        <f>C32/C33*100</f>
        <v>2.4638001036849207E-2</v>
      </c>
      <c r="C32" s="5">
        <f t="shared" si="2"/>
        <v>4.8</v>
      </c>
      <c r="G32" s="5">
        <v>4.8</v>
      </c>
      <c r="K32" s="5" t="s">
        <v>24</v>
      </c>
      <c r="L32" s="5">
        <f>M32/M35*100</f>
        <v>0.13432732675662137</v>
      </c>
      <c r="M32" s="5">
        <f t="shared" si="10"/>
        <v>31.1</v>
      </c>
      <c r="P32" s="5">
        <v>31.1</v>
      </c>
      <c r="U32" s="5" t="s">
        <v>25</v>
      </c>
      <c r="V32" s="5">
        <f>W32/W34*100</f>
        <v>0.2449579815142639</v>
      </c>
      <c r="W32" s="5">
        <f t="shared" si="0"/>
        <v>61.3</v>
      </c>
      <c r="Z32" s="5">
        <v>61.3</v>
      </c>
      <c r="AU32" s="11"/>
      <c r="AV32" s="11"/>
      <c r="AW32" s="11"/>
      <c r="AX32" s="11"/>
      <c r="AY32" s="11"/>
      <c r="BC32" s="11"/>
      <c r="BS32" s="10"/>
      <c r="BT32" s="8"/>
      <c r="BU32" s="10"/>
      <c r="BV32" s="10"/>
      <c r="BW32" s="8"/>
      <c r="BX32" s="10"/>
      <c r="CC32" s="45"/>
      <c r="CD32" s="45"/>
      <c r="CP32" s="8"/>
      <c r="CQ32" s="8"/>
      <c r="CR32" s="8"/>
      <c r="DC32" s="8"/>
      <c r="DD32" s="8"/>
      <c r="DO32" s="8"/>
      <c r="DP32" s="8"/>
    </row>
    <row r="33" spans="1:120" s="5" customFormat="1">
      <c r="A33" s="22" t="s">
        <v>26</v>
      </c>
      <c r="B33" s="24"/>
      <c r="C33" s="14">
        <f t="shared" si="2"/>
        <v>19482.100000000002</v>
      </c>
      <c r="D33" s="23">
        <v>12787</v>
      </c>
      <c r="E33" s="76">
        <v>321</v>
      </c>
      <c r="F33" s="24">
        <v>1841.7</v>
      </c>
      <c r="G33" s="24">
        <v>760.5</v>
      </c>
      <c r="H33" s="24">
        <f>2190+771</f>
        <v>2961</v>
      </c>
      <c r="I33" s="24">
        <v>810.9</v>
      </c>
      <c r="K33" s="5" t="s">
        <v>27</v>
      </c>
      <c r="L33" s="5">
        <f>M33/M35*100</f>
        <v>9.459062559389092E-2</v>
      </c>
      <c r="M33" s="5">
        <f t="shared" si="10"/>
        <v>21.9</v>
      </c>
      <c r="R33" s="5">
        <v>21.9</v>
      </c>
      <c r="U33" s="5" t="s">
        <v>27</v>
      </c>
      <c r="V33" s="5">
        <f>W33/W34*100</f>
        <v>7.9921038014441725E-2</v>
      </c>
      <c r="W33" s="5">
        <f t="shared" si="0"/>
        <v>20</v>
      </c>
      <c r="AB33" s="5">
        <v>20</v>
      </c>
      <c r="BG33" s="17"/>
      <c r="BH33" s="11"/>
      <c r="BI33" s="11"/>
      <c r="BJ33" s="11"/>
      <c r="BK33" s="11"/>
      <c r="BL33" s="11"/>
      <c r="BS33" s="10"/>
      <c r="BT33" s="8"/>
      <c r="BU33" s="10"/>
      <c r="BV33" s="17"/>
      <c r="BW33" s="17"/>
      <c r="BX33" s="17"/>
      <c r="CP33" s="8"/>
      <c r="CQ33" s="8"/>
      <c r="CR33" s="8"/>
      <c r="DC33" s="8"/>
      <c r="DD33" s="8"/>
      <c r="DO33" s="8"/>
      <c r="DP33" s="8"/>
    </row>
    <row r="34" spans="1:120" s="5" customFormat="1">
      <c r="K34" s="5" t="s">
        <v>28</v>
      </c>
      <c r="L34" s="5">
        <f>M34/M35*100</f>
        <v>8.6816053627269754E-2</v>
      </c>
      <c r="M34" s="5">
        <f t="shared" si="10"/>
        <v>20.100000000000001</v>
      </c>
      <c r="P34" s="5">
        <v>20.100000000000001</v>
      </c>
      <c r="U34" s="22" t="s">
        <v>26</v>
      </c>
      <c r="V34" s="24"/>
      <c r="W34" s="14">
        <f>SUM(X34:AC34)</f>
        <v>25024.7</v>
      </c>
      <c r="X34" s="14">
        <v>14700</v>
      </c>
      <c r="Y34" s="14">
        <v>931</v>
      </c>
      <c r="Z34" s="14">
        <v>2920.3</v>
      </c>
      <c r="AA34" s="14">
        <v>1651.4</v>
      </c>
      <c r="AB34" s="14">
        <f>993.9+2790</f>
        <v>3783.9</v>
      </c>
      <c r="AC34" s="14">
        <v>1038.0999999999999</v>
      </c>
      <c r="AZ34" s="11"/>
      <c r="BS34" s="10"/>
      <c r="BT34" s="8"/>
      <c r="BU34" s="10"/>
      <c r="BV34" s="10"/>
      <c r="BW34" s="10"/>
      <c r="BX34" s="10"/>
      <c r="CF34" s="29"/>
      <c r="CP34" s="8"/>
      <c r="CQ34" s="8"/>
      <c r="CR34" s="8"/>
      <c r="DC34" s="8"/>
      <c r="DD34" s="8"/>
      <c r="DO34" s="8"/>
      <c r="DP34" s="8"/>
    </row>
    <row r="35" spans="1:120" s="5" customFormat="1">
      <c r="K35" s="22" t="s">
        <v>26</v>
      </c>
      <c r="L35" s="24"/>
      <c r="M35" s="14">
        <f>SUM(N35:S35)</f>
        <v>23152.399999999998</v>
      </c>
      <c r="N35" s="23">
        <v>14007</v>
      </c>
      <c r="O35" s="76">
        <v>565.20000000000005</v>
      </c>
      <c r="P35" s="14">
        <v>2269.8000000000002</v>
      </c>
      <c r="Q35" s="14">
        <v>1610.8</v>
      </c>
      <c r="R35" s="14">
        <f>2925+775</f>
        <v>3700</v>
      </c>
      <c r="S35" s="14">
        <v>999.6</v>
      </c>
      <c r="V35" s="11"/>
      <c r="AS35" s="45"/>
      <c r="AT35" s="45"/>
      <c r="BN35" s="27"/>
      <c r="BO35" s="10"/>
      <c r="BP35" s="10"/>
      <c r="BS35" s="10"/>
      <c r="BT35" s="8"/>
      <c r="BU35" s="10"/>
      <c r="BV35" s="10"/>
      <c r="BW35" s="10"/>
      <c r="BX35" s="10"/>
      <c r="CP35" s="8"/>
      <c r="CQ35" s="8"/>
      <c r="CR35" s="8"/>
      <c r="CZ35" s="8"/>
      <c r="DD35" s="8"/>
      <c r="DL35" s="8"/>
      <c r="DP35" s="8"/>
    </row>
    <row r="36" spans="1:120">
      <c r="A36" s="5"/>
      <c r="B36" s="5"/>
      <c r="C36" s="5"/>
      <c r="D36" s="5"/>
      <c r="E36" s="5"/>
      <c r="F36" s="5"/>
      <c r="G36" s="5"/>
      <c r="H36" s="5"/>
      <c r="I36" s="5"/>
      <c r="K36" s="5"/>
      <c r="L36" s="11"/>
      <c r="M36" s="5"/>
      <c r="N36" s="86"/>
      <c r="O36" s="72"/>
      <c r="P36" s="5"/>
      <c r="Q36" s="5"/>
      <c r="R36" s="5"/>
      <c r="S36" s="5"/>
      <c r="U36" s="5"/>
      <c r="V36" s="11"/>
      <c r="W36" s="5"/>
      <c r="X36" s="5"/>
      <c r="Y36" s="5"/>
      <c r="Z36" s="5"/>
      <c r="AA36" s="5"/>
      <c r="AB36" s="5"/>
      <c r="AC36" s="5"/>
      <c r="AE36" s="5"/>
      <c r="AF36" s="5"/>
      <c r="AG36" s="5"/>
      <c r="AH36" s="5"/>
      <c r="AI36" s="5"/>
      <c r="AJ36" s="5"/>
      <c r="AK36" s="5"/>
      <c r="AL36" s="5"/>
      <c r="AM36" s="5"/>
      <c r="AN36" s="5"/>
      <c r="AO36" s="5"/>
      <c r="AP36" s="5"/>
      <c r="AQ36" s="5"/>
      <c r="AR36" s="5"/>
      <c r="AS36" s="45"/>
      <c r="AT36" s="45"/>
      <c r="AU36" s="5"/>
      <c r="AV36" s="5"/>
      <c r="AW36" s="5"/>
      <c r="AX36" s="5"/>
      <c r="AY36" s="5"/>
      <c r="AZ36" s="5"/>
      <c r="BE36" s="45"/>
      <c r="BF36" s="45"/>
      <c r="BG36" s="5"/>
      <c r="BH36" s="5"/>
      <c r="BI36" s="5"/>
      <c r="BJ36" s="5"/>
      <c r="BK36" s="5"/>
      <c r="BL36" s="5"/>
      <c r="BZ36" s="5"/>
      <c r="CA36" s="5"/>
      <c r="CB36" s="5"/>
      <c r="CC36" s="5"/>
      <c r="CD36" s="5"/>
      <c r="CE36" s="5"/>
      <c r="CF36" s="5"/>
      <c r="CG36" s="5"/>
      <c r="CH36" s="5"/>
      <c r="CI36" s="5"/>
      <c r="CJ36" s="5"/>
    </row>
    <row r="37" spans="1:120">
      <c r="A37" s="5"/>
      <c r="B37" s="5"/>
      <c r="C37" s="5"/>
      <c r="D37" s="5"/>
      <c r="E37" s="5"/>
      <c r="F37" s="5"/>
      <c r="G37" s="5"/>
      <c r="H37" s="5"/>
      <c r="I37" s="5"/>
      <c r="K37" s="5"/>
      <c r="L37" s="11"/>
      <c r="M37" s="5"/>
      <c r="N37" s="86"/>
      <c r="O37" s="5"/>
      <c r="P37" s="5"/>
      <c r="Q37" s="5"/>
      <c r="R37" s="5"/>
      <c r="S37" s="5"/>
      <c r="U37" s="5"/>
      <c r="V37" s="11"/>
      <c r="W37" s="5"/>
      <c r="X37" s="5"/>
      <c r="Y37" s="5"/>
      <c r="Z37" s="5"/>
      <c r="AA37" s="5"/>
      <c r="AB37" s="5"/>
      <c r="AC37" s="5"/>
      <c r="AE37" s="5"/>
      <c r="AF37" s="5"/>
      <c r="AG37" s="5"/>
      <c r="AH37" s="5"/>
      <c r="AI37" s="5"/>
      <c r="AJ37" s="5"/>
      <c r="AK37" s="5"/>
      <c r="AL37" s="5"/>
      <c r="AM37" s="5"/>
      <c r="AN37" s="5"/>
      <c r="AO37" s="5"/>
      <c r="AS37" s="5"/>
      <c r="AT37" s="5"/>
      <c r="AU37" s="5"/>
      <c r="AV37" s="5"/>
      <c r="AW37" s="5"/>
      <c r="AX37" s="5"/>
      <c r="AY37" s="5"/>
      <c r="AZ37" s="5"/>
      <c r="BE37" s="45"/>
      <c r="BF37" s="45"/>
      <c r="BG37" s="5"/>
      <c r="BH37" s="5"/>
      <c r="BI37" s="5"/>
      <c r="BJ37" s="5"/>
      <c r="BK37" s="5"/>
      <c r="BL37" s="5"/>
      <c r="BZ37" s="5"/>
      <c r="CA37" s="5"/>
      <c r="CB37" s="5"/>
      <c r="CC37" s="5"/>
      <c r="CD37" s="5"/>
      <c r="CE37" s="5"/>
      <c r="CF37" s="5"/>
      <c r="CG37" s="5"/>
      <c r="CH37" s="5"/>
      <c r="CI37" s="5"/>
      <c r="CJ37" s="5"/>
    </row>
    <row r="38" spans="1:120">
      <c r="A38" s="37">
        <v>1984</v>
      </c>
      <c r="B38" s="5"/>
      <c r="C38" s="5"/>
      <c r="D38" s="5"/>
      <c r="E38" s="5"/>
      <c r="F38" s="5"/>
      <c r="G38" s="5"/>
      <c r="H38" s="5"/>
      <c r="I38" s="5"/>
      <c r="K38" s="37">
        <v>1988</v>
      </c>
      <c r="L38" s="5"/>
      <c r="M38" s="5"/>
      <c r="N38" s="5"/>
      <c r="O38" s="5"/>
      <c r="P38" s="5"/>
      <c r="Q38" s="5"/>
      <c r="R38" s="5"/>
      <c r="S38" s="5"/>
      <c r="U38" s="37">
        <v>1992</v>
      </c>
      <c r="V38" s="5"/>
      <c r="W38" s="5"/>
      <c r="X38" s="5"/>
      <c r="Y38" s="5"/>
      <c r="Z38" s="5"/>
      <c r="AA38" s="5"/>
      <c r="AB38" s="5"/>
      <c r="AC38" s="5"/>
      <c r="AE38" s="37">
        <v>1996</v>
      </c>
      <c r="AF38" s="87"/>
      <c r="AG38" s="5"/>
      <c r="AH38" s="5"/>
      <c r="AI38" s="5"/>
      <c r="AJ38" s="5"/>
      <c r="AK38" s="5"/>
      <c r="AL38" s="5"/>
      <c r="AM38" s="5"/>
      <c r="AN38" s="5"/>
      <c r="AP38" s="37">
        <v>2000</v>
      </c>
      <c r="AQ38" s="87"/>
      <c r="AS38" s="5"/>
      <c r="AT38" s="5"/>
      <c r="AU38" s="5"/>
      <c r="AV38" s="5"/>
      <c r="AW38" s="5"/>
      <c r="AX38" s="5"/>
      <c r="AY38" s="5"/>
      <c r="AZ38" s="5"/>
      <c r="BB38" s="35">
        <v>2004</v>
      </c>
      <c r="BC38" s="87"/>
      <c r="BE38" s="5"/>
      <c r="BF38" s="5"/>
      <c r="BG38" s="5"/>
      <c r="BH38" s="5"/>
      <c r="BI38" s="5"/>
      <c r="BJ38" s="5"/>
      <c r="BK38" s="5"/>
      <c r="BL38" s="5"/>
      <c r="BN38" s="35">
        <v>2008</v>
      </c>
      <c r="BO38" s="87"/>
      <c r="BZ38" s="36">
        <v>2010</v>
      </c>
      <c r="CA38" s="87"/>
      <c r="CL38" s="35">
        <v>2011</v>
      </c>
      <c r="CM38" s="87"/>
      <c r="CX38" s="35">
        <v>2012</v>
      </c>
      <c r="CY38" s="87"/>
      <c r="DJ38" s="35">
        <v>2013</v>
      </c>
      <c r="DK38" s="87"/>
    </row>
    <row r="39" spans="1:120" s="89" customFormat="1">
      <c r="A39" s="35" t="s">
        <v>29</v>
      </c>
      <c r="B39" s="88">
        <f>C33</f>
        <v>19482.100000000002</v>
      </c>
      <c r="D39" s="87"/>
      <c r="E39" s="87"/>
      <c r="F39" s="87"/>
      <c r="G39" s="87"/>
      <c r="H39" s="87"/>
      <c r="I39" s="87"/>
      <c r="K39" s="35" t="s">
        <v>107</v>
      </c>
      <c r="L39" s="88">
        <f>M35</f>
        <v>23152.399999999998</v>
      </c>
      <c r="N39" s="88"/>
      <c r="O39" s="88"/>
      <c r="P39" s="87"/>
      <c r="Q39" s="87"/>
      <c r="R39" s="87"/>
      <c r="S39" s="87"/>
      <c r="U39" s="35" t="s">
        <v>107</v>
      </c>
      <c r="V39" s="88">
        <f>W34</f>
        <v>25024.7</v>
      </c>
      <c r="X39" s="87"/>
      <c r="Y39" s="87"/>
      <c r="Z39" s="87"/>
      <c r="AA39" s="87"/>
      <c r="AB39" s="87"/>
      <c r="AC39" s="87"/>
      <c r="AE39" s="14" t="s">
        <v>107</v>
      </c>
      <c r="AF39" s="45">
        <f>AG30</f>
        <v>31778.300000000003</v>
      </c>
      <c r="AG39" s="87"/>
      <c r="AH39" s="88"/>
      <c r="AI39" s="88"/>
      <c r="AJ39" s="87"/>
      <c r="AK39" s="87"/>
      <c r="AL39" s="87"/>
      <c r="AM39" s="87"/>
      <c r="AN39" s="87"/>
      <c r="AP39" s="14" t="s">
        <v>107</v>
      </c>
      <c r="AQ39" s="10">
        <f>AR27</f>
        <v>44271.9</v>
      </c>
      <c r="AR39" s="87"/>
      <c r="AS39" s="87"/>
      <c r="AT39" s="87"/>
      <c r="AU39" s="87"/>
      <c r="AV39" s="87"/>
      <c r="AW39" s="87"/>
      <c r="AX39" s="87"/>
      <c r="AY39" s="87"/>
      <c r="AZ39" s="87"/>
      <c r="BB39" s="14" t="s">
        <v>107</v>
      </c>
      <c r="BC39" s="45">
        <f>BD31</f>
        <v>52365.8</v>
      </c>
      <c r="BD39" s="87"/>
      <c r="BE39" s="87"/>
      <c r="BF39" s="87"/>
      <c r="BG39" s="87"/>
      <c r="BH39" s="87"/>
      <c r="BI39" s="87"/>
      <c r="BJ39" s="87"/>
      <c r="BK39" s="87"/>
      <c r="BL39" s="87"/>
      <c r="BN39" s="14" t="s">
        <v>107</v>
      </c>
      <c r="BO39" s="45">
        <f>BP18</f>
        <v>65166.700000000004</v>
      </c>
      <c r="BP39" s="87"/>
      <c r="BZ39" s="14" t="s">
        <v>107</v>
      </c>
      <c r="CA39" s="46">
        <f>CB17</f>
        <v>67989.8</v>
      </c>
      <c r="CL39" s="14" t="s">
        <v>29</v>
      </c>
      <c r="CM39" s="8">
        <f>CN20</f>
        <v>70472.5</v>
      </c>
      <c r="CN39" s="87"/>
      <c r="CX39" s="14" t="s">
        <v>107</v>
      </c>
      <c r="CY39" s="8">
        <f>CZ20</f>
        <v>72044.299999999988</v>
      </c>
      <c r="DJ39" s="14" t="s">
        <v>107</v>
      </c>
      <c r="DK39" s="8">
        <f>DL19</f>
        <v>73338.777000000002</v>
      </c>
    </row>
    <row r="40" spans="1:120">
      <c r="A40" s="47" t="s">
        <v>109</v>
      </c>
      <c r="B40" s="5">
        <f>B2</f>
        <v>46.63768279600248</v>
      </c>
      <c r="D40" s="5"/>
      <c r="E40" s="5"/>
      <c r="F40" s="5"/>
      <c r="G40" s="5"/>
      <c r="H40" s="5"/>
      <c r="I40" s="5"/>
      <c r="K40" s="47" t="s">
        <v>109</v>
      </c>
      <c r="L40" s="5">
        <f>L2</f>
        <v>40.759921217670744</v>
      </c>
      <c r="M40" s="5"/>
      <c r="N40" s="5"/>
      <c r="O40" s="5"/>
      <c r="P40" s="5"/>
      <c r="Q40" s="5"/>
      <c r="R40" s="5"/>
      <c r="S40" s="5"/>
      <c r="U40" s="47" t="s">
        <v>109</v>
      </c>
      <c r="V40" s="5">
        <f>V2</f>
        <v>39.787889565109666</v>
      </c>
      <c r="W40" s="5"/>
      <c r="X40" s="5"/>
      <c r="Y40" s="5"/>
      <c r="Z40" s="5"/>
      <c r="AA40" s="5"/>
      <c r="AB40" s="5"/>
      <c r="AC40" s="5"/>
      <c r="AE40" s="47" t="s">
        <v>109</v>
      </c>
      <c r="AF40" s="5">
        <f>AF2</f>
        <v>34.609151527929434</v>
      </c>
      <c r="AH40" s="5"/>
      <c r="AI40" s="5"/>
      <c r="AJ40" s="5"/>
      <c r="AK40" s="5"/>
      <c r="AL40" s="5"/>
      <c r="AM40" s="5"/>
      <c r="AN40" s="5"/>
      <c r="AP40" s="47" t="s">
        <v>109</v>
      </c>
      <c r="AQ40" s="5">
        <f>AQ2</f>
        <v>33.518552400055114</v>
      </c>
      <c r="AS40" s="5"/>
      <c r="AT40" s="5"/>
      <c r="AU40" s="5"/>
      <c r="AV40" s="5"/>
      <c r="AW40" s="5"/>
      <c r="AX40" s="5"/>
      <c r="AY40" s="5"/>
      <c r="AZ40" s="5"/>
      <c r="BB40" s="47" t="s">
        <v>109</v>
      </c>
      <c r="BC40" s="5">
        <f>BC2</f>
        <v>30.932020517207796</v>
      </c>
      <c r="BE40" s="5"/>
      <c r="BF40" s="5"/>
      <c r="BG40" s="5"/>
      <c r="BH40" s="5"/>
      <c r="BI40" s="5"/>
      <c r="BJ40" s="5"/>
      <c r="BK40" s="5"/>
      <c r="BL40" s="5"/>
      <c r="BN40" s="25" t="s">
        <v>30</v>
      </c>
      <c r="BO40" s="10">
        <f>BO2</f>
        <v>26.795740769442062</v>
      </c>
      <c r="BZ40" s="14" t="s">
        <v>109</v>
      </c>
      <c r="CA40" s="5">
        <f>CA2</f>
        <v>25.426461027977727</v>
      </c>
      <c r="CL40" s="14" t="s">
        <v>109</v>
      </c>
      <c r="CM40" s="5">
        <f>CM2</f>
        <v>27.812125297101709</v>
      </c>
      <c r="CX40" s="47" t="s">
        <v>109</v>
      </c>
      <c r="CY40" s="5">
        <f>CY2</f>
        <v>27.336513783880196</v>
      </c>
      <c r="DJ40" s="47" t="s">
        <v>109</v>
      </c>
      <c r="DK40" s="5">
        <f>DK2</f>
        <v>27.866976838187522</v>
      </c>
    </row>
    <row r="41" spans="1:120">
      <c r="A41" s="14" t="s">
        <v>31</v>
      </c>
      <c r="B41" s="5">
        <f>SUM(B2:B5)</f>
        <v>64.682965388741451</v>
      </c>
      <c r="D41" s="5"/>
      <c r="E41" s="5"/>
      <c r="F41" s="5"/>
      <c r="G41" s="5"/>
      <c r="H41" s="5"/>
      <c r="I41" s="5"/>
      <c r="K41" s="14" t="s">
        <v>31</v>
      </c>
      <c r="L41" s="5">
        <f>SUM(L2:L5)</f>
        <v>59.080700057013537</v>
      </c>
      <c r="M41" s="5"/>
      <c r="N41" s="5"/>
      <c r="O41" s="5"/>
      <c r="P41" s="5"/>
      <c r="Q41" s="5"/>
      <c r="R41" s="5"/>
      <c r="S41" s="5"/>
      <c r="U41" s="14" t="s">
        <v>31</v>
      </c>
      <c r="V41" s="5">
        <f>SUM(V2:V5)</f>
        <v>58.065830959012487</v>
      </c>
      <c r="W41" s="5"/>
      <c r="X41" s="5"/>
      <c r="Y41" s="5"/>
      <c r="Z41" s="5"/>
      <c r="AA41" s="5"/>
      <c r="AB41" s="5"/>
      <c r="AC41" s="5"/>
      <c r="AE41" s="14" t="s">
        <v>31</v>
      </c>
      <c r="AF41" s="5">
        <f>SUM(AF2+AF3+AF4+AF5)</f>
        <v>55.568737157116644</v>
      </c>
      <c r="AH41" s="5"/>
      <c r="AI41" s="5"/>
      <c r="AJ41" s="5"/>
      <c r="AK41" s="5"/>
      <c r="AL41" s="5"/>
      <c r="AM41" s="5"/>
      <c r="AN41" s="5"/>
      <c r="AP41" s="14" t="s">
        <v>31</v>
      </c>
      <c r="AQ41" s="5">
        <f>SUM(AQ2:AQ5)</f>
        <v>58.748551564310539</v>
      </c>
      <c r="AT41" s="5"/>
      <c r="AU41" s="5"/>
      <c r="AV41" s="5"/>
      <c r="AW41" s="5"/>
      <c r="AX41" s="5"/>
      <c r="AY41" s="5"/>
      <c r="AZ41" s="5"/>
      <c r="BB41" s="14" t="s">
        <v>31</v>
      </c>
      <c r="BC41" s="5">
        <f>SUM(BC2:BC5)</f>
        <v>59.881640307223421</v>
      </c>
      <c r="BE41" s="5"/>
      <c r="BF41" s="5"/>
      <c r="BG41" s="5"/>
      <c r="BH41" s="5"/>
      <c r="BI41" s="5"/>
      <c r="BJ41" s="5"/>
      <c r="BK41" s="5"/>
      <c r="BL41" s="5"/>
      <c r="BN41" s="25" t="s">
        <v>31</v>
      </c>
      <c r="BO41" s="6">
        <f>SUM(BO2:BO5)</f>
        <v>63.081515804851257</v>
      </c>
      <c r="BZ41" s="14" t="s">
        <v>123</v>
      </c>
      <c r="CA41" s="5">
        <f>SUM(CA2:CA5)</f>
        <v>62.778587964665292</v>
      </c>
      <c r="CL41" s="14" t="s">
        <v>123</v>
      </c>
      <c r="CM41" s="5">
        <f>SUM(CM2:CM5)</f>
        <v>66.975783092695721</v>
      </c>
      <c r="CX41" s="14" t="s">
        <v>31</v>
      </c>
      <c r="CY41" s="8">
        <f>SUM(CY2:CY5)</f>
        <v>66.484098006365528</v>
      </c>
      <c r="DJ41" s="14" t="s">
        <v>31</v>
      </c>
      <c r="DK41" s="8">
        <f>SUM(DK2:DK5)</f>
        <v>67.134816115081932</v>
      </c>
    </row>
    <row r="42" spans="1:120">
      <c r="A42" s="14" t="s">
        <v>32</v>
      </c>
      <c r="B42" s="5">
        <f>SUM(B2:B11)</f>
        <v>76.554888846684889</v>
      </c>
      <c r="E42" s="5"/>
      <c r="F42" s="5"/>
      <c r="G42" s="5"/>
      <c r="H42" s="5"/>
      <c r="I42" s="5"/>
      <c r="K42" s="47" t="s">
        <v>33</v>
      </c>
      <c r="L42" s="5">
        <f>SUM(L2:L11)</f>
        <v>73.800124393151478</v>
      </c>
      <c r="M42" s="5"/>
      <c r="N42" s="5"/>
      <c r="O42" s="5"/>
      <c r="P42" s="5"/>
      <c r="Q42" s="5"/>
      <c r="R42" s="5"/>
      <c r="S42" s="5"/>
      <c r="U42" s="14" t="s">
        <v>32</v>
      </c>
      <c r="V42" s="5">
        <f>SUM(V2+V3+V4+V5+V6+V7+V13+V8+V9+V10)</f>
        <v>75.23286992451456</v>
      </c>
      <c r="W42" s="5"/>
      <c r="AE42" s="14" t="s">
        <v>32</v>
      </c>
      <c r="AF42" s="5">
        <f>SUM(AF2+AF3+AF4+AF5+AF6+AF7+AF8+AF9+AF10+AF26)</f>
        <v>70.115770824745184</v>
      </c>
      <c r="AH42" s="5"/>
      <c r="AI42" s="5"/>
      <c r="AJ42" s="5"/>
      <c r="AK42" s="5"/>
      <c r="AL42" s="5"/>
      <c r="AM42" s="5"/>
      <c r="AN42" s="5"/>
      <c r="AP42" s="14" t="s">
        <v>32</v>
      </c>
      <c r="AQ42" s="5">
        <f>SUM(AQ2+AQ3+AQ4+AQ5+AQ6+AQ7+AQ8+AQ9+AQ10+AQ13)</f>
        <v>74.233091419162037</v>
      </c>
      <c r="AT42" s="5"/>
      <c r="BB42" s="47" t="s">
        <v>32</v>
      </c>
      <c r="BC42" s="5">
        <f>SUM(BC2:BC11)</f>
        <v>76.876129076611079</v>
      </c>
      <c r="BN42" s="25" t="s">
        <v>33</v>
      </c>
      <c r="BO42" s="10">
        <f>SUM(BO2+BO3+BO4+BO5+BO6+BO7+BO8+BO9+BO10+BO12)</f>
        <v>82.101352623349058</v>
      </c>
      <c r="BZ42" s="14" t="s">
        <v>33</v>
      </c>
      <c r="CA42" s="5">
        <f>SUM(CA2:CA12)</f>
        <v>79.85791456953838</v>
      </c>
      <c r="CL42" s="14" t="s">
        <v>33</v>
      </c>
      <c r="CM42" s="5">
        <f>SUM(CM2:CM11)</f>
        <v>82.513758898861226</v>
      </c>
      <c r="CX42" s="47" t="s">
        <v>32</v>
      </c>
      <c r="CY42" s="5">
        <f>SUM(CY2:CY11)</f>
        <v>82.150153475014662</v>
      </c>
      <c r="DJ42" s="47" t="s">
        <v>32</v>
      </c>
      <c r="DK42" s="5">
        <f>SUM(DK2+DK3+DK4+DK5+DK6+DK7+DK8+DK9+DK10+DK12)</f>
        <v>83.079996111743185</v>
      </c>
    </row>
    <row r="43" spans="1:120">
      <c r="A43" s="47" t="s">
        <v>34</v>
      </c>
      <c r="B43" s="8">
        <f>SUMSQ(B2:B32)</f>
        <v>2321.2131430776567</v>
      </c>
      <c r="E43" s="5"/>
      <c r="K43" s="15" t="s">
        <v>119</v>
      </c>
      <c r="L43" s="8">
        <f>SUMSQ(L2:L34)</f>
        <v>1834.9378539554266</v>
      </c>
      <c r="U43" s="47" t="s">
        <v>34</v>
      </c>
      <c r="V43" s="5">
        <f>SUMSQ(V2:V33)</f>
        <v>1771.0082453481186</v>
      </c>
      <c r="W43" s="5"/>
      <c r="AE43" s="14" t="s">
        <v>34</v>
      </c>
      <c r="AF43" s="5">
        <f>SUMSQ(AF2:AF29)</f>
        <v>1403.9217458636822</v>
      </c>
      <c r="AH43" s="5"/>
      <c r="AI43" s="5"/>
      <c r="AJ43" s="5"/>
      <c r="AK43" s="5"/>
      <c r="AL43" s="5"/>
      <c r="AM43" s="5"/>
      <c r="AN43" s="5"/>
      <c r="AP43" s="14" t="s">
        <v>34</v>
      </c>
      <c r="AQ43" s="5">
        <f>SUMSQ(AQ2:AQ26)</f>
        <v>1446.4936406766928</v>
      </c>
      <c r="AT43" s="5"/>
      <c r="BB43" s="14" t="s">
        <v>34</v>
      </c>
      <c r="BC43" s="5">
        <f>SUMSQ(BC2:BC30)</f>
        <v>1341.1876856493761</v>
      </c>
      <c r="BN43" s="25" t="s">
        <v>34</v>
      </c>
      <c r="BO43" s="8">
        <f>SUMSQ(BO2:BO17)</f>
        <v>1287.0296201413939</v>
      </c>
      <c r="BZ43" s="14" t="s">
        <v>119</v>
      </c>
      <c r="CA43" s="8">
        <f>SUMSQ(CA2:CA16)</f>
        <v>1206.9748343090271</v>
      </c>
      <c r="CL43" s="14" t="s">
        <v>119</v>
      </c>
      <c r="CM43" s="5">
        <f>SUMSQ(CM2:CM19)</f>
        <v>1381.2544823022804</v>
      </c>
      <c r="CX43" s="14" t="s">
        <v>34</v>
      </c>
      <c r="CY43" s="8">
        <f>SUMSQ(CY2:CY19)</f>
        <v>1359.4746967391584</v>
      </c>
      <c r="DJ43" s="14" t="s">
        <v>34</v>
      </c>
      <c r="DK43" s="8">
        <f>SUMSQ(DK2:DK18)</f>
        <v>1393.0980290275597</v>
      </c>
    </row>
    <row r="45" spans="1:120">
      <c r="A45" s="29"/>
      <c r="B45" s="5"/>
      <c r="C45" s="5"/>
      <c r="E45" s="5"/>
      <c r="AT45" s="5"/>
    </row>
    <row r="46" spans="1:120">
      <c r="E46" s="5"/>
      <c r="AT46" s="5"/>
    </row>
    <row r="47" spans="1:120">
      <c r="E47" s="5"/>
      <c r="AT47" s="5"/>
    </row>
    <row r="48" spans="1:120">
      <c r="E48" s="5"/>
      <c r="AT48" s="5"/>
    </row>
    <row r="49" spans="5:46">
      <c r="E49" s="5"/>
      <c r="AT49" s="5"/>
    </row>
  </sheetData>
  <sheetCalcPr fullCalcOnLoad="1"/>
  <phoneticPr fontId="3" type="noConversion"/>
  <pageMargins left="0.75" right="0.75" top="1" bottom="1" header="0.5" footer="0.5"/>
  <legacy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DC80"/>
  <sheetViews>
    <sheetView topLeftCell="CJ1" workbookViewId="0">
      <selection activeCell="CR6" sqref="CR6"/>
    </sheetView>
  </sheetViews>
  <sheetFormatPr baseColWidth="10" defaultRowHeight="15"/>
  <cols>
    <col min="1" max="1" width="14.7109375" style="8" customWidth="1"/>
    <col min="2" max="2" width="13.7109375" style="8" customWidth="1"/>
    <col min="3" max="3" width="17.28515625" style="8" customWidth="1"/>
    <col min="4" max="5" width="10.7109375" style="8"/>
    <col min="6" max="6" width="12.140625" style="8" customWidth="1"/>
    <col min="7" max="8" width="10.7109375" style="8"/>
    <col min="9" max="9" width="15.140625" style="8" customWidth="1"/>
    <col min="10" max="10" width="13.7109375" style="8" customWidth="1"/>
    <col min="11" max="11" width="17.28515625" style="8" customWidth="1"/>
    <col min="12" max="13" width="10.7109375" style="8"/>
    <col min="14" max="14" width="12.140625" style="8" customWidth="1"/>
    <col min="15" max="16" width="10.7109375" style="8"/>
    <col min="17" max="17" width="14.7109375" style="8" customWidth="1"/>
    <col min="18" max="18" width="13.7109375" style="8" customWidth="1"/>
    <col min="19" max="19" width="17.28515625" style="8" customWidth="1"/>
    <col min="20" max="21" width="10.7109375" style="8"/>
    <col min="22" max="22" width="11.7109375" style="8" customWidth="1"/>
    <col min="23" max="24" width="10.7109375" style="8"/>
    <col min="25" max="25" width="14.7109375" style="8" customWidth="1"/>
    <col min="26" max="26" width="13.7109375" style="8" customWidth="1"/>
    <col min="27" max="27" width="17.28515625" style="8" customWidth="1"/>
    <col min="28" max="29" width="10.7109375" style="8"/>
    <col min="30" max="30" width="12.140625" style="8" customWidth="1"/>
    <col min="31" max="31" width="15.42578125" style="8" customWidth="1"/>
    <col min="32" max="33" width="10.7109375" style="8"/>
    <col min="34" max="34" width="14.7109375" style="8" customWidth="1"/>
    <col min="35" max="35" width="13.7109375" style="8" customWidth="1"/>
    <col min="36" max="38" width="10.7109375" style="8"/>
    <col min="39" max="39" width="12.140625" style="8" customWidth="1"/>
    <col min="40" max="40" width="15.42578125" style="8" customWidth="1"/>
    <col min="41" max="41" width="10.7109375" style="8"/>
    <col min="42" max="42" width="20" style="8" customWidth="1"/>
    <col min="43" max="43" width="10.7109375" style="8"/>
    <col min="44" max="44" width="14.7109375" style="8" customWidth="1"/>
    <col min="45" max="45" width="13.7109375" style="8" customWidth="1"/>
    <col min="46" max="46" width="17.28515625" style="8" customWidth="1"/>
    <col min="47" max="47" width="15.42578125" style="8" customWidth="1"/>
    <col min="48" max="49" width="10.7109375" style="8"/>
    <col min="50" max="50" width="13.140625" style="8" customWidth="1"/>
    <col min="51" max="51" width="10.7109375" style="8"/>
    <col min="52" max="52" width="20" style="8" customWidth="1"/>
    <col min="53" max="53" width="10.7109375" style="8"/>
    <col min="54" max="54" width="15.42578125" style="8" customWidth="1"/>
    <col min="55" max="55" width="11.5703125" style="8" customWidth="1"/>
    <col min="56" max="56" width="14.28515625" style="8" customWidth="1"/>
    <col min="57" max="57" width="15.42578125" style="8" customWidth="1"/>
    <col min="58" max="58" width="16.85546875" style="8" customWidth="1"/>
    <col min="59" max="60" width="10.7109375" style="8"/>
    <col min="61" max="61" width="12.5703125" style="8" customWidth="1"/>
    <col min="62" max="62" width="20" style="8" customWidth="1"/>
    <col min="63" max="63" width="7.42578125" style="8" customWidth="1"/>
    <col min="64" max="64" width="14.7109375" style="8" customWidth="1"/>
    <col min="65" max="65" width="13.7109375" style="8" customWidth="1"/>
    <col min="66" max="66" width="17.28515625" style="8" customWidth="1"/>
    <col min="67" max="67" width="16.140625" style="8" customWidth="1"/>
    <col min="68" max="68" width="15.42578125" style="8" customWidth="1"/>
    <col min="69" max="70" width="10.7109375" style="8"/>
    <col min="71" max="71" width="13.140625" style="8" customWidth="1"/>
    <col min="72" max="72" width="20" style="8" customWidth="1"/>
    <col min="73" max="73" width="10.7109375" style="8"/>
    <col min="74" max="74" width="25.42578125" style="8" customWidth="1"/>
    <col min="75" max="75" width="11.5703125" style="8" customWidth="1"/>
    <col min="76" max="76" width="17.28515625" style="8" customWidth="1"/>
    <col min="77" max="77" width="15.42578125" style="8" customWidth="1"/>
    <col min="78" max="78" width="16.85546875" style="8" customWidth="1"/>
    <col min="79" max="80" width="10.7109375" style="8"/>
    <col min="81" max="81" width="13.140625" style="8" customWidth="1"/>
    <col min="82" max="82" width="20" style="8" customWidth="1"/>
    <col min="83" max="83" width="11" style="8" customWidth="1"/>
    <col min="84" max="84" width="27.85546875" style="8" customWidth="1"/>
    <col min="85" max="85" width="11.5703125" style="8" customWidth="1"/>
    <col min="86" max="86" width="17.28515625" style="8" customWidth="1"/>
    <col min="87" max="87" width="15.42578125" style="8" customWidth="1"/>
    <col min="88" max="88" width="16.85546875" style="8" customWidth="1"/>
    <col min="89" max="90" width="10.7109375" style="8"/>
    <col min="91" max="91" width="13.140625" style="8" customWidth="1"/>
    <col min="92" max="92" width="20" style="8" customWidth="1"/>
    <col min="93" max="93" width="10.7109375" style="8"/>
    <col min="94" max="94" width="27.7109375" style="8" customWidth="1"/>
    <col min="95" max="95" width="14.7109375" style="8" customWidth="1"/>
    <col min="96" max="96" width="17.28515625" style="8" customWidth="1"/>
    <col min="97" max="97" width="15.42578125" style="8" customWidth="1"/>
    <col min="98" max="98" width="16.85546875" style="8" customWidth="1"/>
    <col min="99" max="100" width="10.7109375" style="8"/>
    <col min="101" max="101" width="13.140625" style="8" customWidth="1"/>
    <col min="102" max="102" width="20" style="8" customWidth="1"/>
    <col min="103" max="16384" width="10.7109375" style="8"/>
  </cols>
  <sheetData>
    <row r="1" spans="1:102" s="2" customFormat="1" ht="17">
      <c r="A1" s="1">
        <v>1984</v>
      </c>
      <c r="B1" s="2" t="s">
        <v>208</v>
      </c>
      <c r="C1" s="2" t="s">
        <v>209</v>
      </c>
      <c r="D1" s="2" t="s">
        <v>210</v>
      </c>
      <c r="E1" s="2" t="s">
        <v>211</v>
      </c>
      <c r="F1" s="2" t="s">
        <v>212</v>
      </c>
      <c r="G1" s="2" t="s">
        <v>213</v>
      </c>
      <c r="I1" s="1">
        <v>1988</v>
      </c>
      <c r="J1" s="2" t="s">
        <v>208</v>
      </c>
      <c r="K1" s="2" t="s">
        <v>209</v>
      </c>
      <c r="L1" s="2" t="s">
        <v>210</v>
      </c>
      <c r="M1" s="2" t="s">
        <v>211</v>
      </c>
      <c r="N1" s="2" t="s">
        <v>212</v>
      </c>
      <c r="O1" s="2" t="s">
        <v>213</v>
      </c>
      <c r="Q1" s="1">
        <v>1992</v>
      </c>
      <c r="R1" s="2" t="s">
        <v>208</v>
      </c>
      <c r="S1" s="2" t="s">
        <v>209</v>
      </c>
      <c r="T1" s="2" t="s">
        <v>214</v>
      </c>
      <c r="U1" s="2" t="s">
        <v>215</v>
      </c>
      <c r="V1" s="2" t="s">
        <v>216</v>
      </c>
      <c r="W1" s="2" t="s">
        <v>217</v>
      </c>
      <c r="Y1" s="1">
        <v>1996</v>
      </c>
      <c r="Z1" s="2" t="s">
        <v>208</v>
      </c>
      <c r="AA1" s="2" t="s">
        <v>209</v>
      </c>
      <c r="AB1" s="2" t="s">
        <v>210</v>
      </c>
      <c r="AC1" s="2" t="s">
        <v>211</v>
      </c>
      <c r="AD1" s="2" t="s">
        <v>212</v>
      </c>
      <c r="AE1" s="2" t="s">
        <v>218</v>
      </c>
      <c r="AF1" s="2" t="s">
        <v>213</v>
      </c>
      <c r="AH1" s="1">
        <v>2000</v>
      </c>
      <c r="AI1" s="2" t="s">
        <v>208</v>
      </c>
      <c r="AJ1" s="2" t="s">
        <v>219</v>
      </c>
      <c r="AK1" s="2" t="s">
        <v>210</v>
      </c>
      <c r="AL1" s="2" t="s">
        <v>211</v>
      </c>
      <c r="AM1" s="2" t="s">
        <v>212</v>
      </c>
      <c r="AN1" s="2" t="s">
        <v>218</v>
      </c>
      <c r="AO1" s="2" t="s">
        <v>213</v>
      </c>
      <c r="AP1" s="3" t="s">
        <v>220</v>
      </c>
      <c r="AR1" s="1">
        <v>2004</v>
      </c>
      <c r="AS1" s="2" t="s">
        <v>208</v>
      </c>
      <c r="AT1" s="2" t="s">
        <v>209</v>
      </c>
      <c r="AU1" s="2" t="s">
        <v>221</v>
      </c>
      <c r="AV1" s="2" t="s">
        <v>215</v>
      </c>
      <c r="AW1" s="2" t="s">
        <v>214</v>
      </c>
      <c r="AX1" s="2" t="s">
        <v>222</v>
      </c>
      <c r="AY1" s="2" t="s">
        <v>217</v>
      </c>
      <c r="AZ1" s="3" t="s">
        <v>220</v>
      </c>
      <c r="BB1" s="4">
        <v>2008</v>
      </c>
      <c r="BC1" s="3" t="s">
        <v>223</v>
      </c>
      <c r="BD1" s="3" t="s">
        <v>224</v>
      </c>
      <c r="BE1" s="3" t="s">
        <v>218</v>
      </c>
      <c r="BF1" s="3" t="s">
        <v>225</v>
      </c>
      <c r="BG1" s="3" t="s">
        <v>226</v>
      </c>
      <c r="BH1" s="3" t="s">
        <v>217</v>
      </c>
      <c r="BI1" s="3" t="s">
        <v>222</v>
      </c>
      <c r="BJ1" s="3" t="s">
        <v>220</v>
      </c>
      <c r="BL1" s="1">
        <v>2010</v>
      </c>
      <c r="BM1" s="2" t="s">
        <v>208</v>
      </c>
      <c r="BN1" s="2" t="s">
        <v>209</v>
      </c>
      <c r="BO1" s="2" t="s">
        <v>227</v>
      </c>
      <c r="BP1" s="2" t="s">
        <v>221</v>
      </c>
      <c r="BQ1" s="2" t="s">
        <v>228</v>
      </c>
      <c r="BR1" s="2" t="s">
        <v>217</v>
      </c>
      <c r="BS1" s="2" t="s">
        <v>222</v>
      </c>
      <c r="BT1" s="3" t="s">
        <v>220</v>
      </c>
      <c r="BV1" s="4">
        <v>2011</v>
      </c>
      <c r="BW1" s="3" t="s">
        <v>223</v>
      </c>
      <c r="BX1" s="3" t="s">
        <v>209</v>
      </c>
      <c r="BY1" s="3" t="s">
        <v>218</v>
      </c>
      <c r="BZ1" s="3" t="s">
        <v>225</v>
      </c>
      <c r="CA1" s="3" t="s">
        <v>226</v>
      </c>
      <c r="CB1" s="3" t="s">
        <v>217</v>
      </c>
      <c r="CC1" s="3" t="s">
        <v>222</v>
      </c>
      <c r="CD1" s="3" t="s">
        <v>220</v>
      </c>
      <c r="CE1" s="3"/>
      <c r="CF1" s="4">
        <v>2012</v>
      </c>
      <c r="CG1" s="3" t="s">
        <v>223</v>
      </c>
      <c r="CH1" s="3" t="s">
        <v>209</v>
      </c>
      <c r="CI1" s="3" t="s">
        <v>218</v>
      </c>
      <c r="CJ1" s="3" t="s">
        <v>225</v>
      </c>
      <c r="CK1" s="3" t="s">
        <v>226</v>
      </c>
      <c r="CL1" s="3" t="s">
        <v>217</v>
      </c>
      <c r="CM1" s="3" t="s">
        <v>222</v>
      </c>
      <c r="CN1" s="3" t="s">
        <v>220</v>
      </c>
      <c r="CP1" s="4">
        <v>2013</v>
      </c>
      <c r="CQ1" s="3" t="s">
        <v>223</v>
      </c>
      <c r="CR1" s="3" t="s">
        <v>209</v>
      </c>
      <c r="CS1" s="3" t="s">
        <v>218</v>
      </c>
      <c r="CT1" s="3" t="s">
        <v>225</v>
      </c>
      <c r="CU1" s="3" t="s">
        <v>226</v>
      </c>
      <c r="CV1" s="3" t="s">
        <v>217</v>
      </c>
      <c r="CW1" s="3" t="s">
        <v>222</v>
      </c>
      <c r="CX1" s="3" t="s">
        <v>220</v>
      </c>
    </row>
    <row r="2" spans="1:102" s="5" customFormat="1">
      <c r="A2" s="5" t="s">
        <v>229</v>
      </c>
      <c r="B2" s="5">
        <f>C2/C25*100</f>
        <v>16.662744544327825</v>
      </c>
      <c r="C2" s="5">
        <f t="shared" ref="C2:C25" si="0">SUM(D2:G2)</f>
        <v>1062.0999999999999</v>
      </c>
      <c r="D2" s="5">
        <v>810.9</v>
      </c>
      <c r="G2" s="5">
        <v>251.2</v>
      </c>
      <c r="I2" s="5" t="s">
        <v>230</v>
      </c>
      <c r="J2" s="5">
        <f>K2/K27*100</f>
        <v>14.665159320295562</v>
      </c>
      <c r="K2" s="5">
        <f t="shared" ref="K2:K27" si="1">SUM(L2:O2)</f>
        <v>1258.3</v>
      </c>
      <c r="L2" s="6">
        <v>982.3</v>
      </c>
      <c r="O2" s="5">
        <v>276</v>
      </c>
      <c r="Q2" s="5" t="s">
        <v>231</v>
      </c>
      <c r="R2" s="5">
        <f>S2/S26*100</f>
        <v>13.928483983946688</v>
      </c>
      <c r="S2" s="5">
        <f>SUM(T2:W2)</f>
        <v>1308.4000000000001</v>
      </c>
      <c r="T2" s="6">
        <v>1038.2</v>
      </c>
      <c r="V2" s="7"/>
      <c r="W2" s="5">
        <v>270.2</v>
      </c>
      <c r="Y2" s="5" t="s">
        <v>232</v>
      </c>
      <c r="Z2" s="5">
        <f>AA2/AA21*100</f>
        <v>11.805415912594679</v>
      </c>
      <c r="AA2" s="5">
        <f>SUM(AB2:AF2)</f>
        <v>1409.0000000000002</v>
      </c>
      <c r="AB2" s="5">
        <v>169.4</v>
      </c>
      <c r="AC2" s="5">
        <v>953.3</v>
      </c>
      <c r="AD2" s="5">
        <v>208.4</v>
      </c>
      <c r="AF2" s="5">
        <v>77.900000000000006</v>
      </c>
      <c r="AH2" s="5" t="s">
        <v>233</v>
      </c>
      <c r="AI2" s="5">
        <f>AJ2/AJ21*100</f>
        <v>3.4945646978106946</v>
      </c>
      <c r="AJ2" s="5">
        <f>SUM(AK2:AP2)</f>
        <v>621.4</v>
      </c>
      <c r="AL2" s="5">
        <v>305</v>
      </c>
      <c r="AN2" s="5">
        <v>316.39999999999998</v>
      </c>
      <c r="AR2" s="5" t="s">
        <v>234</v>
      </c>
      <c r="AS2" s="5">
        <f>AT2/AT21*100</f>
        <v>13.769269616276784</v>
      </c>
      <c r="AT2" s="5">
        <f>SUM(AU2:AZ2)</f>
        <v>3217.3</v>
      </c>
      <c r="AU2" s="5">
        <v>940.6</v>
      </c>
      <c r="AV2" s="5">
        <v>856.7</v>
      </c>
      <c r="AW2" s="5">
        <v>981.9</v>
      </c>
      <c r="AX2" s="5">
        <v>438.1</v>
      </c>
      <c r="BB2" s="8" t="s">
        <v>235</v>
      </c>
      <c r="BC2" s="8">
        <f>BD2/BD17*100</f>
        <v>10.749313329187395</v>
      </c>
      <c r="BD2" s="8">
        <f>SUM(BE2:BJ2)</f>
        <v>3318.7</v>
      </c>
      <c r="BE2" s="9">
        <v>695</v>
      </c>
      <c r="BF2" s="9">
        <v>1600.2</v>
      </c>
      <c r="BG2" s="9">
        <v>483</v>
      </c>
      <c r="BH2" s="9">
        <v>241.3</v>
      </c>
      <c r="BI2" s="8">
        <v>299.2</v>
      </c>
      <c r="BJ2" s="8"/>
      <c r="BL2" s="5" t="s">
        <v>236</v>
      </c>
      <c r="BM2" s="5">
        <f>BN2/BN15*100</f>
        <v>15.045580323060534</v>
      </c>
      <c r="BN2" s="5">
        <f>SUM(BO2:BT2)</f>
        <v>4986</v>
      </c>
      <c r="BO2" s="5">
        <v>2333.5</v>
      </c>
      <c r="BP2" s="5">
        <v>916.4</v>
      </c>
      <c r="BQ2" s="5">
        <v>1475</v>
      </c>
      <c r="BR2" s="5">
        <v>261.10000000000002</v>
      </c>
      <c r="BV2" s="10" t="s">
        <v>237</v>
      </c>
      <c r="BW2" s="8">
        <f>BX2/BX20*100</f>
        <v>16.782553071523459</v>
      </c>
      <c r="BX2" s="10">
        <f>SUM(BY2:CD2)</f>
        <v>5466</v>
      </c>
      <c r="BY2" s="10">
        <v>1610.4</v>
      </c>
      <c r="BZ2" s="10">
        <v>1874.2</v>
      </c>
      <c r="CA2" s="10">
        <v>1820.9</v>
      </c>
      <c r="CB2" s="10">
        <v>160.5</v>
      </c>
      <c r="CC2" s="10"/>
      <c r="CD2" s="8"/>
      <c r="CE2" s="8"/>
      <c r="CF2" s="10" t="s">
        <v>237</v>
      </c>
      <c r="CG2" s="8">
        <f>CH2/CH20*100</f>
        <v>15.849650770881601</v>
      </c>
      <c r="CH2" s="10">
        <f>SUM(CI2:CN2)</f>
        <v>5657.2</v>
      </c>
      <c r="CI2" s="10">
        <v>1697.4</v>
      </c>
      <c r="CJ2" s="10">
        <v>1937.5</v>
      </c>
      <c r="CK2" s="10">
        <v>1865.1</v>
      </c>
      <c r="CL2" s="10">
        <v>157.19999999999999</v>
      </c>
      <c r="CM2" s="10"/>
      <c r="CN2" s="8"/>
      <c r="CP2" s="10" t="s">
        <v>237</v>
      </c>
      <c r="CQ2" s="8">
        <f>CR2/CR20*100</f>
        <v>17.775636004456306</v>
      </c>
      <c r="CR2" s="10">
        <f>SUM(CS2:CX2)</f>
        <v>6495</v>
      </c>
      <c r="CS2" s="10">
        <v>1821.5</v>
      </c>
      <c r="CT2" s="10">
        <v>2103.3000000000002</v>
      </c>
      <c r="CU2" s="10">
        <v>2147.5</v>
      </c>
      <c r="CV2" s="10">
        <v>422.7</v>
      </c>
      <c r="CW2" s="10"/>
      <c r="CX2" s="8"/>
    </row>
    <row r="3" spans="1:102" s="5" customFormat="1">
      <c r="A3" s="5" t="s">
        <v>238</v>
      </c>
      <c r="B3" s="5">
        <f>C3/C25*100</f>
        <v>9.169922028207905</v>
      </c>
      <c r="C3" s="5">
        <f t="shared" si="0"/>
        <v>584.5</v>
      </c>
      <c r="F3" s="5">
        <v>584.5</v>
      </c>
      <c r="I3" s="5" t="s">
        <v>238</v>
      </c>
      <c r="J3" s="5">
        <f>K3/K27*100</f>
        <v>8.7748537330132166</v>
      </c>
      <c r="K3" s="5">
        <f t="shared" si="1"/>
        <v>752.9</v>
      </c>
      <c r="N3" s="5">
        <v>752.9</v>
      </c>
      <c r="Q3" s="5" t="s">
        <v>238</v>
      </c>
      <c r="R3" s="5">
        <f>S3/S26*100</f>
        <v>8.6174776712051688</v>
      </c>
      <c r="S3" s="5">
        <f t="shared" ref="S3:S9" si="2">SUM(T3:W3)</f>
        <v>809.5</v>
      </c>
      <c r="V3" s="5">
        <v>809.5</v>
      </c>
      <c r="Y3" s="5" t="s">
        <v>239</v>
      </c>
      <c r="Z3" s="5">
        <f>AA3/AA21*100</f>
        <v>3.3598096387157312</v>
      </c>
      <c r="AA3" s="5">
        <f t="shared" ref="AA3:AA21" si="3">SUM(AB3:AF3)</f>
        <v>401</v>
      </c>
      <c r="AD3" s="5">
        <v>401</v>
      </c>
      <c r="AH3" s="5" t="s">
        <v>240</v>
      </c>
      <c r="AI3" s="5">
        <f>AJ3/AJ21*100</f>
        <v>3.4827549361991688</v>
      </c>
      <c r="AJ3" s="5">
        <f t="shared" ref="AJ3:AJ20" si="4">SUM(AK3:AP3)</f>
        <v>619.29999999999995</v>
      </c>
      <c r="AK3" s="5">
        <v>619.29999999999995</v>
      </c>
      <c r="AR3" s="5" t="s">
        <v>241</v>
      </c>
      <c r="AS3" s="5">
        <f>AT3/AT21*100</f>
        <v>11.058470071643171</v>
      </c>
      <c r="AT3" s="5">
        <f t="shared" ref="AT3:AT20" si="5">SUM(AU3:AZ3)</f>
        <v>2583.9</v>
      </c>
      <c r="AU3" s="5">
        <v>432.5</v>
      </c>
      <c r="AV3" s="5">
        <v>1574.5</v>
      </c>
      <c r="AW3" s="5">
        <v>349</v>
      </c>
      <c r="AY3" s="5">
        <v>227.9</v>
      </c>
      <c r="BB3" s="8" t="s">
        <v>241</v>
      </c>
      <c r="BC3" s="8">
        <f>BD3/BD17*100</f>
        <v>11.185932317578771</v>
      </c>
      <c r="BD3" s="8">
        <f t="shared" ref="BD3:BD17" si="6">SUM(BE3:BJ3)</f>
        <v>3453.5</v>
      </c>
      <c r="BE3" s="9">
        <v>714.1</v>
      </c>
      <c r="BF3" s="9">
        <v>1977.6</v>
      </c>
      <c r="BG3" s="8">
        <v>475.4</v>
      </c>
      <c r="BH3" s="9">
        <v>286.39999999999998</v>
      </c>
      <c r="BI3" s="8"/>
      <c r="BJ3" s="8"/>
      <c r="BL3" s="5" t="s">
        <v>235</v>
      </c>
      <c r="BM3" s="5">
        <f>BN3/BN15*100</f>
        <v>11.193960041400993</v>
      </c>
      <c r="BN3" s="5">
        <f t="shared" ref="BN3:BN15" si="7">SUM(BO3:BT3)</f>
        <v>3709.6</v>
      </c>
      <c r="BO3" s="5">
        <v>1765.8</v>
      </c>
      <c r="BP3" s="5">
        <v>848</v>
      </c>
      <c r="BQ3" s="5">
        <v>606.20000000000005</v>
      </c>
      <c r="BR3" s="5">
        <v>204.4</v>
      </c>
      <c r="BS3" s="5">
        <v>285.2</v>
      </c>
      <c r="BV3" s="10" t="s">
        <v>235</v>
      </c>
      <c r="BW3" s="8">
        <f>BX3/BX20*100</f>
        <v>12.191146217671248</v>
      </c>
      <c r="BX3" s="10">
        <f t="shared" ref="BX3:BX20" si="8">SUM(BY3:CD3)</f>
        <v>3970.6</v>
      </c>
      <c r="BY3" s="10">
        <v>926</v>
      </c>
      <c r="BZ3" s="10">
        <v>1830.6</v>
      </c>
      <c r="CA3" s="6">
        <v>719.3</v>
      </c>
      <c r="CB3" s="10">
        <v>220.8</v>
      </c>
      <c r="CC3" s="10">
        <v>273.89999999999998</v>
      </c>
      <c r="CD3" s="8"/>
      <c r="CE3" s="8"/>
      <c r="CF3" s="10" t="s">
        <v>235</v>
      </c>
      <c r="CG3" s="8">
        <f>CH3/CH20*100</f>
        <v>11.295803927391722</v>
      </c>
      <c r="CH3" s="10">
        <f t="shared" ref="CH3:CH20" si="9">SUM(CI3:CN3)</f>
        <v>4031.8</v>
      </c>
      <c r="CI3" s="10">
        <v>998</v>
      </c>
      <c r="CJ3" s="10">
        <v>1838.5</v>
      </c>
      <c r="CK3" s="6">
        <v>743.4</v>
      </c>
      <c r="CL3" s="10">
        <v>225.1</v>
      </c>
      <c r="CM3" s="10">
        <v>226.8</v>
      </c>
      <c r="CN3" s="8"/>
      <c r="CP3" s="10" t="s">
        <v>235</v>
      </c>
      <c r="CQ3" s="8">
        <f>CR3/CR20*100</f>
        <v>11.322491718866235</v>
      </c>
      <c r="CR3" s="10">
        <f t="shared" ref="CR3:CR20" si="10">SUM(CS3:CX3)</f>
        <v>4137.1000000000004</v>
      </c>
      <c r="CS3" s="10">
        <v>1159</v>
      </c>
      <c r="CT3" s="10">
        <v>1771.6</v>
      </c>
      <c r="CU3" s="6">
        <v>743.4</v>
      </c>
      <c r="CV3" s="10">
        <v>224.5</v>
      </c>
      <c r="CW3" s="10">
        <v>238.6</v>
      </c>
      <c r="CX3" s="8"/>
    </row>
    <row r="4" spans="1:102" s="5" customFormat="1">
      <c r="A4" s="5" t="s">
        <v>242</v>
      </c>
      <c r="B4" s="5">
        <f>C4/C25*100</f>
        <v>6.1279239422036058</v>
      </c>
      <c r="C4" s="5">
        <f t="shared" si="0"/>
        <v>390.6</v>
      </c>
      <c r="F4" s="5">
        <v>390.6</v>
      </c>
      <c r="I4" s="5" t="s">
        <v>242</v>
      </c>
      <c r="J4" s="5">
        <f>K4/K27*100</f>
        <v>6.1933288268338726</v>
      </c>
      <c r="K4" s="5">
        <f t="shared" si="1"/>
        <v>531.4</v>
      </c>
      <c r="N4" s="5">
        <v>531.4</v>
      </c>
      <c r="Q4" s="5" t="s">
        <v>243</v>
      </c>
      <c r="R4" s="5">
        <f>S4/S26*100</f>
        <v>6.8514004066555234</v>
      </c>
      <c r="S4" s="5">
        <f t="shared" si="2"/>
        <v>643.6</v>
      </c>
      <c r="T4" s="5">
        <v>67</v>
      </c>
      <c r="U4" s="5">
        <v>176</v>
      </c>
      <c r="V4" s="5">
        <v>365.2</v>
      </c>
      <c r="W4" s="5">
        <v>35.4</v>
      </c>
      <c r="Y4" s="5" t="s">
        <v>244</v>
      </c>
      <c r="Z4" s="5">
        <f>AA4/AA21*100</f>
        <v>10.433842750854613</v>
      </c>
      <c r="AA4" s="5">
        <f t="shared" si="3"/>
        <v>1245.3</v>
      </c>
      <c r="AB4" s="6">
        <v>956.3</v>
      </c>
      <c r="AF4" s="5">
        <v>289</v>
      </c>
      <c r="AH4" s="5" t="s">
        <v>245</v>
      </c>
      <c r="AI4" s="5">
        <f>AJ4/AJ21*100</f>
        <v>6.257486545307307</v>
      </c>
      <c r="AJ4" s="5">
        <f t="shared" si="4"/>
        <v>1112.7</v>
      </c>
      <c r="AK4" s="5">
        <v>233.2</v>
      </c>
      <c r="AM4" s="5">
        <f>850.1+29.4</f>
        <v>879.5</v>
      </c>
      <c r="AR4" s="5" t="s">
        <v>246</v>
      </c>
      <c r="AS4" s="5">
        <f>AT4/AT21*100</f>
        <v>9.3504181324842293</v>
      </c>
      <c r="AT4" s="5">
        <f t="shared" si="5"/>
        <v>2184.8000000000002</v>
      </c>
      <c r="AU4" s="5">
        <v>222.5</v>
      </c>
      <c r="AV4" s="5">
        <v>705.5</v>
      </c>
      <c r="AW4" s="5">
        <v>299.60000000000002</v>
      </c>
      <c r="AX4" s="5">
        <f>881.1+76.1</f>
        <v>957.2</v>
      </c>
      <c r="BB4" s="8" t="s">
        <v>237</v>
      </c>
      <c r="BC4" s="8">
        <f>BD4/BD17*100</f>
        <v>8.7119739842454393</v>
      </c>
      <c r="BD4" s="8">
        <f t="shared" si="6"/>
        <v>2689.7</v>
      </c>
      <c r="BE4" s="9">
        <v>1257.9000000000001</v>
      </c>
      <c r="BF4" s="8">
        <v>1380.1</v>
      </c>
      <c r="BG4" s="9">
        <v>51.7</v>
      </c>
      <c r="BH4" s="8"/>
      <c r="BI4" s="8"/>
      <c r="BJ4" s="8"/>
      <c r="BL4" s="5" t="s">
        <v>247</v>
      </c>
      <c r="BM4" s="5">
        <f>BN4/BN15*100</f>
        <v>9.9114948112965564</v>
      </c>
      <c r="BN4" s="5">
        <f t="shared" si="7"/>
        <v>3284.6</v>
      </c>
      <c r="BO4" s="5">
        <v>1718.9</v>
      </c>
      <c r="BP4" s="5">
        <v>1506.5</v>
      </c>
      <c r="BQ4" s="5">
        <v>59.2</v>
      </c>
      <c r="BV4" s="10" t="s">
        <v>248</v>
      </c>
      <c r="BW4" s="8">
        <f>BX4/BX20*100</f>
        <v>2.8084524871062033</v>
      </c>
      <c r="BX4" s="10">
        <f t="shared" si="8"/>
        <v>914.7</v>
      </c>
      <c r="BY4" s="10">
        <v>644</v>
      </c>
      <c r="BZ4" s="10">
        <v>270.7</v>
      </c>
      <c r="CA4" s="10"/>
      <c r="CB4" s="10"/>
      <c r="CC4" s="10"/>
      <c r="CD4" s="8"/>
      <c r="CE4" s="8"/>
      <c r="CF4" s="10" t="s">
        <v>248</v>
      </c>
      <c r="CG4" s="8">
        <f>CH4/CH20*100</f>
        <v>3.2471443900607682</v>
      </c>
      <c r="CH4" s="10">
        <f t="shared" si="9"/>
        <v>1159</v>
      </c>
      <c r="CI4" s="10">
        <v>722.4</v>
      </c>
      <c r="CJ4" s="10">
        <v>436.6</v>
      </c>
      <c r="CK4" s="10"/>
      <c r="CL4" s="10"/>
      <c r="CM4" s="10"/>
      <c r="CN4" s="8"/>
      <c r="CP4" s="10" t="s">
        <v>248</v>
      </c>
      <c r="CQ4" s="8">
        <f>CR4/CR20*100</f>
        <v>3.583316431198559</v>
      </c>
      <c r="CR4" s="10">
        <f t="shared" si="10"/>
        <v>1309.3</v>
      </c>
      <c r="CS4" s="10">
        <v>795.3</v>
      </c>
      <c r="CT4" s="10">
        <v>514</v>
      </c>
      <c r="CU4" s="10"/>
      <c r="CV4" s="10"/>
      <c r="CW4" s="10"/>
      <c r="CX4" s="8"/>
    </row>
    <row r="5" spans="1:102" s="5" customFormat="1">
      <c r="A5" s="5" t="s">
        <v>243</v>
      </c>
      <c r="B5" s="5">
        <f>C5/C25*100</f>
        <v>5.947506314616966</v>
      </c>
      <c r="C5" s="5">
        <f t="shared" si="0"/>
        <v>379.1</v>
      </c>
      <c r="D5" s="5">
        <v>34.799999999999997</v>
      </c>
      <c r="E5" s="5">
        <v>47.4</v>
      </c>
      <c r="F5" s="5">
        <f>125.9+153.7</f>
        <v>279.60000000000002</v>
      </c>
      <c r="G5" s="5">
        <v>17.3</v>
      </c>
      <c r="I5" s="5" t="s">
        <v>243</v>
      </c>
      <c r="J5" s="5">
        <f>K5/K27*100</f>
        <v>8.9799771567096336</v>
      </c>
      <c r="K5" s="5">
        <f t="shared" si="1"/>
        <v>770.50000000000011</v>
      </c>
      <c r="L5" s="5">
        <v>48.1</v>
      </c>
      <c r="M5" s="5">
        <v>83.5</v>
      </c>
      <c r="N5" s="5">
        <f>337.6+278.3</f>
        <v>615.90000000000009</v>
      </c>
      <c r="O5" s="5">
        <v>23</v>
      </c>
      <c r="Q5" s="5" t="s">
        <v>249</v>
      </c>
      <c r="R5" s="5">
        <f>S5/S26*100</f>
        <v>5.292909077360358</v>
      </c>
      <c r="S5" s="5">
        <f t="shared" si="2"/>
        <v>497.2</v>
      </c>
      <c r="V5" s="5">
        <v>497.2</v>
      </c>
      <c r="Y5" s="5" t="s">
        <v>250</v>
      </c>
      <c r="Z5" s="5">
        <f>AA5/AA21*100</f>
        <v>7.1033581339231846</v>
      </c>
      <c r="AA5" s="5">
        <f t="shared" si="3"/>
        <v>847.80000000000007</v>
      </c>
      <c r="AB5" s="5">
        <v>211.2</v>
      </c>
      <c r="AC5" s="7">
        <v>634.70000000000005</v>
      </c>
      <c r="AD5" s="7"/>
      <c r="AE5" s="5">
        <v>1.9</v>
      </c>
      <c r="AH5" s="5" t="s">
        <v>251</v>
      </c>
      <c r="AI5" s="5">
        <f>AJ5/AJ21*100</f>
        <v>9.0389665896220315</v>
      </c>
      <c r="AJ5" s="5">
        <f t="shared" si="4"/>
        <v>1607.3000000000002</v>
      </c>
      <c r="AK5" s="5">
        <v>151.30000000000001</v>
      </c>
      <c r="AL5" s="5">
        <v>1190.4000000000001</v>
      </c>
      <c r="AN5" s="5">
        <v>98.9</v>
      </c>
      <c r="AO5" s="5">
        <v>166.7</v>
      </c>
      <c r="AR5" s="5" t="s">
        <v>252</v>
      </c>
      <c r="AS5" s="5">
        <f>AT5/AT21*100</f>
        <v>8.1585051656694834</v>
      </c>
      <c r="AT5" s="5">
        <f t="shared" si="5"/>
        <v>1906.3</v>
      </c>
      <c r="AW5" s="5">
        <v>712.7</v>
      </c>
      <c r="AX5" s="5">
        <v>1193.5999999999999</v>
      </c>
      <c r="BB5" s="8" t="s">
        <v>253</v>
      </c>
      <c r="BC5" s="8">
        <f>BD5/BD17*100</f>
        <v>9.3192889718076302</v>
      </c>
      <c r="BD5" s="8">
        <f t="shared" si="6"/>
        <v>2877.2000000000003</v>
      </c>
      <c r="BE5" s="9">
        <v>438.1</v>
      </c>
      <c r="BF5" s="9">
        <v>836.4</v>
      </c>
      <c r="BG5" s="9">
        <v>342.9</v>
      </c>
      <c r="BH5" s="8"/>
      <c r="BI5" s="8">
        <f>1181.4+78.4</f>
        <v>1259.8000000000002</v>
      </c>
      <c r="BJ5" s="8"/>
      <c r="BL5" s="5" t="s">
        <v>246</v>
      </c>
      <c r="BM5" s="5">
        <f>BN5/BN15*100</f>
        <v>9.2971185269453489</v>
      </c>
      <c r="BN5" s="5">
        <f t="shared" si="7"/>
        <v>3081</v>
      </c>
      <c r="BO5" s="5">
        <v>982</v>
      </c>
      <c r="BP5" s="5">
        <v>644.29999999999995</v>
      </c>
      <c r="BQ5" s="5">
        <v>344.9</v>
      </c>
      <c r="BS5" s="5">
        <f>1034.8+75</f>
        <v>1109.8</v>
      </c>
      <c r="BV5" s="10" t="s">
        <v>241</v>
      </c>
      <c r="BW5" s="8">
        <f>BX5/BX20*100</f>
        <v>15.754905703605617</v>
      </c>
      <c r="BX5" s="10">
        <f t="shared" si="8"/>
        <v>5131.2999999999993</v>
      </c>
      <c r="BY5" s="10">
        <v>976.6</v>
      </c>
      <c r="BZ5" s="10">
        <v>2369.6999999999998</v>
      </c>
      <c r="CA5" s="10">
        <v>1589.3</v>
      </c>
      <c r="CB5" s="10">
        <v>195.7</v>
      </c>
      <c r="CC5" s="8"/>
      <c r="CD5" s="8"/>
      <c r="CE5" s="8"/>
      <c r="CF5" s="10" t="s">
        <v>241</v>
      </c>
      <c r="CG5" s="8">
        <f>CH5/CH20*100</f>
        <v>13.737746162402045</v>
      </c>
      <c r="CH5" s="10">
        <f t="shared" si="9"/>
        <v>4903.3999999999996</v>
      </c>
      <c r="CI5" s="10">
        <v>1017</v>
      </c>
      <c r="CJ5" s="10">
        <v>2179.5</v>
      </c>
      <c r="CK5" s="10">
        <v>1515.5</v>
      </c>
      <c r="CL5" s="10">
        <v>191.4</v>
      </c>
      <c r="CM5" s="8"/>
      <c r="CN5" s="8"/>
      <c r="CP5" s="10" t="s">
        <v>241</v>
      </c>
      <c r="CQ5" s="8">
        <f>CR5/CR20*100</f>
        <v>13.472536313954897</v>
      </c>
      <c r="CR5" s="10">
        <f t="shared" si="10"/>
        <v>4922.7</v>
      </c>
      <c r="CS5" s="10">
        <v>1104.0999999999999</v>
      </c>
      <c r="CT5" s="10">
        <v>2124.1</v>
      </c>
      <c r="CU5" s="10">
        <v>1510.8</v>
      </c>
      <c r="CV5" s="10">
        <v>183.7</v>
      </c>
      <c r="CW5" s="8"/>
      <c r="CX5" s="8"/>
    </row>
    <row r="6" spans="1:102" s="5" customFormat="1">
      <c r="A6" s="5" t="s">
        <v>254</v>
      </c>
      <c r="B6" s="5">
        <f>C6/C25*100</f>
        <v>4.9497183916160719</v>
      </c>
      <c r="C6" s="5">
        <f t="shared" si="0"/>
        <v>315.5</v>
      </c>
      <c r="F6" s="5">
        <v>315.5</v>
      </c>
      <c r="I6" s="5" t="s">
        <v>250</v>
      </c>
      <c r="J6" s="5">
        <f>K6/K27*100</f>
        <v>4.0313745600335649</v>
      </c>
      <c r="K6" s="5">
        <f t="shared" si="1"/>
        <v>345.9</v>
      </c>
      <c r="L6" s="5">
        <v>100.9</v>
      </c>
      <c r="M6" s="5">
        <v>245</v>
      </c>
      <c r="Q6" s="5" t="s">
        <v>235</v>
      </c>
      <c r="R6" s="5">
        <f>S6/S26*100</f>
        <v>6.7502687971725734</v>
      </c>
      <c r="S6" s="5">
        <f t="shared" si="2"/>
        <v>634.1</v>
      </c>
      <c r="T6" s="5">
        <v>88.7</v>
      </c>
      <c r="U6" s="5">
        <v>509.4</v>
      </c>
      <c r="W6" s="5">
        <v>36</v>
      </c>
      <c r="Y6" s="5" t="s">
        <v>251</v>
      </c>
      <c r="Z6" s="5">
        <f>AA6/AA21*100</f>
        <v>5.0908237817548097</v>
      </c>
      <c r="AA6" s="5">
        <f t="shared" si="3"/>
        <v>607.6</v>
      </c>
      <c r="AB6" s="5">
        <v>24.6</v>
      </c>
      <c r="AC6" s="5">
        <v>534.4</v>
      </c>
      <c r="AF6" s="5">
        <v>48.6</v>
      </c>
      <c r="AH6" s="5" t="s">
        <v>255</v>
      </c>
      <c r="AI6" s="5">
        <f>AJ6/AJ21*100</f>
        <v>9.4281263532018489</v>
      </c>
      <c r="AJ6" s="5">
        <f t="shared" si="4"/>
        <v>1676.4999999999998</v>
      </c>
      <c r="AK6" s="5">
        <v>151.30000000000001</v>
      </c>
      <c r="AL6" s="5">
        <v>1121.0999999999999</v>
      </c>
      <c r="AM6" s="5">
        <v>151.5</v>
      </c>
      <c r="AN6" s="5">
        <v>111.5</v>
      </c>
      <c r="AO6" s="5">
        <v>141.1</v>
      </c>
      <c r="AR6" s="5" t="s">
        <v>235</v>
      </c>
      <c r="AS6" s="5">
        <f>AT6/AT21*100</f>
        <v>9.8472981879499084</v>
      </c>
      <c r="AT6" s="5">
        <f t="shared" si="5"/>
        <v>2300.8999999999996</v>
      </c>
      <c r="AU6" s="5">
        <v>378.9</v>
      </c>
      <c r="AV6" s="5">
        <v>1253.0999999999999</v>
      </c>
      <c r="AW6" s="5">
        <v>185.6</v>
      </c>
      <c r="AX6" s="5">
        <v>278.60000000000002</v>
      </c>
      <c r="AY6" s="5">
        <v>204.7</v>
      </c>
      <c r="BB6" s="8" t="s">
        <v>252</v>
      </c>
      <c r="BC6" s="8">
        <f>BD6/BD17*100</f>
        <v>7.5426901948590359</v>
      </c>
      <c r="BD6" s="8">
        <f t="shared" si="6"/>
        <v>2328.6999999999998</v>
      </c>
      <c r="BE6" s="8"/>
      <c r="BF6" s="8"/>
      <c r="BG6" s="9">
        <v>1030.7</v>
      </c>
      <c r="BH6" s="8"/>
      <c r="BI6" s="9">
        <v>1298</v>
      </c>
      <c r="BJ6" s="8"/>
      <c r="BL6" s="5" t="s">
        <v>256</v>
      </c>
      <c r="BM6" s="5">
        <f>BN6/BN15*100</f>
        <v>6.7846937020395721</v>
      </c>
      <c r="BN6" s="5">
        <f t="shared" si="7"/>
        <v>2248.4</v>
      </c>
      <c r="BQ6" s="5">
        <v>1691.8000000000002</v>
      </c>
      <c r="BR6" s="5">
        <v>161.19999999999999</v>
      </c>
      <c r="BS6" s="5">
        <v>395.4</v>
      </c>
      <c r="BV6" s="10" t="s">
        <v>253</v>
      </c>
      <c r="BW6" s="8">
        <f>BX6/BX20*100</f>
        <v>9.81837691403544</v>
      </c>
      <c r="BX6" s="10">
        <f t="shared" si="8"/>
        <v>3197.8</v>
      </c>
      <c r="BY6" s="10">
        <v>689.2</v>
      </c>
      <c r="BZ6" s="10">
        <v>1040.9000000000001</v>
      </c>
      <c r="CA6" s="10">
        <v>378.7</v>
      </c>
      <c r="CB6" s="10"/>
      <c r="CC6" s="10">
        <f>70.6+1018.4</f>
        <v>1089</v>
      </c>
      <c r="CD6" s="8"/>
      <c r="CE6" s="8"/>
      <c r="CF6" s="10" t="s">
        <v>253</v>
      </c>
      <c r="CG6" s="8">
        <f>CH6/CH20*100</f>
        <v>9.1774554603296465</v>
      </c>
      <c r="CH6" s="10">
        <f t="shared" si="9"/>
        <v>3275.7000000000003</v>
      </c>
      <c r="CI6" s="10">
        <v>772.5</v>
      </c>
      <c r="CJ6" s="10">
        <v>1086.3</v>
      </c>
      <c r="CK6" s="10">
        <v>389.5</v>
      </c>
      <c r="CL6" s="10"/>
      <c r="CM6" s="10">
        <f>960+67.4</f>
        <v>1027.4000000000001</v>
      </c>
      <c r="CN6" s="8"/>
      <c r="CP6" s="10" t="s">
        <v>253</v>
      </c>
      <c r="CQ6" s="8">
        <f>CR6/CR20*100</f>
        <v>8.8024292657633278</v>
      </c>
      <c r="CR6" s="10">
        <f t="shared" si="10"/>
        <v>3216.3</v>
      </c>
      <c r="CS6" s="10">
        <v>818.4</v>
      </c>
      <c r="CT6" s="10">
        <v>1090</v>
      </c>
      <c r="CU6" s="10">
        <v>380.1</v>
      </c>
      <c r="CV6" s="10"/>
      <c r="CW6" s="10">
        <f>67.9+859.9</f>
        <v>927.8</v>
      </c>
      <c r="CX6" s="8"/>
    </row>
    <row r="7" spans="1:102" s="5" customFormat="1">
      <c r="A7" s="5" t="s">
        <v>255</v>
      </c>
      <c r="B7" s="5">
        <f>C7/C25*100</f>
        <v>3.1816256412670025</v>
      </c>
      <c r="C7" s="5">
        <f t="shared" si="0"/>
        <v>202.79999999999998</v>
      </c>
      <c r="D7" s="5">
        <v>15.7</v>
      </c>
      <c r="E7" s="5">
        <v>164.1</v>
      </c>
      <c r="G7" s="5">
        <v>23</v>
      </c>
      <c r="I7" s="5" t="s">
        <v>255</v>
      </c>
      <c r="J7" s="5">
        <f>K7/K27*100</f>
        <v>4.2516491457075585</v>
      </c>
      <c r="K7" s="5">
        <f t="shared" si="1"/>
        <v>364.8</v>
      </c>
      <c r="L7" s="5">
        <v>61.8</v>
      </c>
      <c r="M7" s="5">
        <v>277.8</v>
      </c>
      <c r="O7" s="5">
        <v>25.2</v>
      </c>
      <c r="Q7" s="5" t="s">
        <v>257</v>
      </c>
      <c r="R7" s="5">
        <f>S7/S26*100</f>
        <v>4.8894471826862684</v>
      </c>
      <c r="S7" s="5">
        <f t="shared" si="2"/>
        <v>459.3</v>
      </c>
      <c r="T7" s="5">
        <v>167</v>
      </c>
      <c r="U7" s="5">
        <v>292.3</v>
      </c>
      <c r="Y7" s="5" t="s">
        <v>242</v>
      </c>
      <c r="Z7" s="5">
        <f>AA7/AA21*100</f>
        <v>3.0983980159528119</v>
      </c>
      <c r="AA7" s="5">
        <f t="shared" si="3"/>
        <v>369.8</v>
      </c>
      <c r="AD7" s="5">
        <v>369.8</v>
      </c>
      <c r="AH7" s="5" t="s">
        <v>244</v>
      </c>
      <c r="AI7" s="5">
        <f>AJ7/AJ21*100</f>
        <v>8.6396841732323324</v>
      </c>
      <c r="AJ7" s="5">
        <f t="shared" si="4"/>
        <v>1536.3000000000002</v>
      </c>
      <c r="AK7" s="6">
        <v>1255.9000000000001</v>
      </c>
      <c r="AO7" s="5">
        <v>280.39999999999998</v>
      </c>
      <c r="AR7" s="5" t="s">
        <v>231</v>
      </c>
      <c r="AS7" s="5">
        <f>AT7/AT21*100</f>
        <v>6.6464662027407586</v>
      </c>
      <c r="AT7" s="5">
        <f t="shared" si="5"/>
        <v>1553</v>
      </c>
      <c r="AW7" s="6">
        <v>1178.0999999999999</v>
      </c>
      <c r="AY7" s="8">
        <v>374.9</v>
      </c>
      <c r="AZ7" s="8"/>
      <c r="BB7" s="8" t="s">
        <v>258</v>
      </c>
      <c r="BC7" s="8">
        <f>BD7/BD17*100</f>
        <v>7.0610489220563846</v>
      </c>
      <c r="BD7" s="8">
        <f t="shared" si="6"/>
        <v>2180</v>
      </c>
      <c r="BE7" s="9"/>
      <c r="BF7" s="9"/>
      <c r="BG7" s="9">
        <v>1585.8</v>
      </c>
      <c r="BH7" s="9">
        <v>172.1</v>
      </c>
      <c r="BI7" s="9">
        <v>422.1</v>
      </c>
      <c r="BJ7" s="8"/>
      <c r="BL7" s="5" t="s">
        <v>231</v>
      </c>
      <c r="BM7" s="5">
        <f>BN7/BN15*100</f>
        <v>5.4014417926751612</v>
      </c>
      <c r="BN7" s="5">
        <f t="shared" si="7"/>
        <v>1790</v>
      </c>
      <c r="BQ7" s="6">
        <v>1425.3</v>
      </c>
      <c r="BR7" s="5">
        <v>364.7</v>
      </c>
      <c r="BV7" s="10" t="s">
        <v>231</v>
      </c>
      <c r="BW7" s="8">
        <f>BX7/BX20*100</f>
        <v>5.6347130254042899</v>
      </c>
      <c r="BX7" s="10">
        <f t="shared" si="8"/>
        <v>1835.1999999999998</v>
      </c>
      <c r="BY7" s="10"/>
      <c r="BZ7" s="10"/>
      <c r="CA7" s="10">
        <v>1498.3</v>
      </c>
      <c r="CB7" s="10">
        <v>336.9</v>
      </c>
      <c r="CC7" s="10"/>
      <c r="CD7" s="8"/>
      <c r="CE7" s="8"/>
      <c r="CF7" s="10" t="s">
        <v>231</v>
      </c>
      <c r="CG7" s="8">
        <f>CH7/CH20*100</f>
        <v>5.2071980702044378</v>
      </c>
      <c r="CH7" s="10">
        <f t="shared" si="9"/>
        <v>1858.6</v>
      </c>
      <c r="CI7" s="10"/>
      <c r="CJ7" s="10"/>
      <c r="CK7" s="10">
        <v>1532.8</v>
      </c>
      <c r="CL7" s="10">
        <v>325.8</v>
      </c>
      <c r="CM7" s="10"/>
      <c r="CN7" s="8"/>
      <c r="CP7" s="10" t="s">
        <v>231</v>
      </c>
      <c r="CQ7" s="8">
        <f>CR7/CR20*100</f>
        <v>5.0409459517487401</v>
      </c>
      <c r="CR7" s="10">
        <f t="shared" si="10"/>
        <v>1841.8999999999999</v>
      </c>
      <c r="CS7" s="10"/>
      <c r="CT7" s="10"/>
      <c r="CU7" s="10">
        <v>1537.1</v>
      </c>
      <c r="CV7" s="10">
        <v>304.8</v>
      </c>
      <c r="CW7" s="10"/>
      <c r="CX7" s="8"/>
    </row>
    <row r="8" spans="1:102" s="5" customFormat="1">
      <c r="A8" s="5" t="s">
        <v>259</v>
      </c>
      <c r="B8" s="5">
        <f>C8/C25*100</f>
        <v>2.3171898777866682</v>
      </c>
      <c r="C8" s="5">
        <f t="shared" si="0"/>
        <v>147.69999999999999</v>
      </c>
      <c r="D8" s="5">
        <v>147.69999999999999</v>
      </c>
      <c r="I8" s="5" t="s">
        <v>254</v>
      </c>
      <c r="J8" s="5">
        <f>K8/K27*100</f>
        <v>4.7108459010279473</v>
      </c>
      <c r="K8" s="5">
        <f t="shared" si="1"/>
        <v>404.2</v>
      </c>
      <c r="N8" s="5">
        <v>404.2</v>
      </c>
      <c r="Q8" s="5" t="s">
        <v>260</v>
      </c>
      <c r="R8" s="5">
        <f>S8/S26*100</f>
        <v>4.3816600487560811</v>
      </c>
      <c r="S8" s="5">
        <f t="shared" si="2"/>
        <v>411.6</v>
      </c>
      <c r="V8" s="5">
        <v>411.6</v>
      </c>
      <c r="Y8" s="5" t="s">
        <v>150</v>
      </c>
      <c r="Z8" s="5">
        <f>AA8/AA21*100</f>
        <v>2.7289027414706077</v>
      </c>
      <c r="AA8" s="5">
        <f t="shared" si="3"/>
        <v>325.7</v>
      </c>
      <c r="AB8" s="5">
        <v>18</v>
      </c>
      <c r="AC8" s="5">
        <v>307.7</v>
      </c>
      <c r="AH8" s="5" t="s">
        <v>254</v>
      </c>
      <c r="AI8" s="5">
        <f>AJ8/AJ21*100</f>
        <v>4.7413381022275454</v>
      </c>
      <c r="AJ8" s="5">
        <f t="shared" si="4"/>
        <v>843.1</v>
      </c>
      <c r="AM8" s="5">
        <v>843.1</v>
      </c>
      <c r="AR8" s="5" t="s">
        <v>254</v>
      </c>
      <c r="AS8" s="5">
        <f>AT8/AT21*100</f>
        <v>3.982316034546217</v>
      </c>
      <c r="AT8" s="5">
        <f t="shared" si="5"/>
        <v>930.5</v>
      </c>
      <c r="AX8" s="5">
        <v>930.5</v>
      </c>
      <c r="BB8" s="8" t="s">
        <v>231</v>
      </c>
      <c r="BC8" s="8">
        <f>BD8/BD17*100</f>
        <v>5.7767801616915424</v>
      </c>
      <c r="BD8" s="8">
        <f t="shared" si="6"/>
        <v>1783.5</v>
      </c>
      <c r="BE8" s="8"/>
      <c r="BF8" s="8"/>
      <c r="BG8" s="9">
        <v>1386.9</v>
      </c>
      <c r="BH8" s="8">
        <v>396.6</v>
      </c>
      <c r="BI8" s="8"/>
      <c r="BJ8" s="8"/>
      <c r="BL8" s="5" t="s">
        <v>151</v>
      </c>
      <c r="BM8" s="5">
        <f>BN8/BN15*100</f>
        <v>3.1759874227880491</v>
      </c>
      <c r="BN8" s="5">
        <f t="shared" si="7"/>
        <v>1052.5</v>
      </c>
      <c r="BS8" s="5">
        <v>1052.5</v>
      </c>
      <c r="BV8" s="10" t="s">
        <v>152</v>
      </c>
      <c r="BW8" s="8">
        <f>BX8/BX20*100</f>
        <v>0.53147821746811386</v>
      </c>
      <c r="BX8" s="10">
        <f t="shared" si="8"/>
        <v>173.1</v>
      </c>
      <c r="BY8" s="10">
        <v>102.5</v>
      </c>
      <c r="BZ8" s="10">
        <v>70.599999999999994</v>
      </c>
      <c r="CA8" s="10"/>
      <c r="CB8" s="10"/>
      <c r="CC8" s="10"/>
      <c r="CD8" s="8"/>
      <c r="CE8" s="8"/>
      <c r="CF8" s="10" t="s">
        <v>152</v>
      </c>
      <c r="CG8" s="8">
        <f>CH8/CH20*100</f>
        <v>0.52839640376657537</v>
      </c>
      <c r="CH8" s="10">
        <f t="shared" si="9"/>
        <v>188.6</v>
      </c>
      <c r="CI8" s="10">
        <v>110.1</v>
      </c>
      <c r="CJ8" s="10">
        <v>78.5</v>
      </c>
      <c r="CK8" s="10"/>
      <c r="CL8" s="10"/>
      <c r="CM8" s="10"/>
      <c r="CN8" s="8"/>
      <c r="CP8" s="10" t="s">
        <v>152</v>
      </c>
      <c r="CQ8" s="8">
        <f>CR8/CR20*100</f>
        <v>0.54654264974440714</v>
      </c>
      <c r="CR8" s="10">
        <f t="shared" si="10"/>
        <v>199.7</v>
      </c>
      <c r="CS8" s="10">
        <v>117.7</v>
      </c>
      <c r="CT8" s="10">
        <v>82</v>
      </c>
      <c r="CU8" s="10"/>
      <c r="CV8" s="10"/>
      <c r="CW8" s="10"/>
      <c r="CX8" s="8"/>
    </row>
    <row r="9" spans="1:102" s="5" customFormat="1">
      <c r="A9" s="5" t="s">
        <v>153</v>
      </c>
      <c r="B9" s="5">
        <f>C9/C25*100</f>
        <v>1.9924381481307165</v>
      </c>
      <c r="C9" s="5">
        <f t="shared" si="0"/>
        <v>127</v>
      </c>
      <c r="F9" s="5">
        <v>127</v>
      </c>
      <c r="I9" s="11" t="s">
        <v>153</v>
      </c>
      <c r="J9" s="5">
        <f>K9/K27*100</f>
        <v>1.9778093750728416</v>
      </c>
      <c r="K9" s="5">
        <f t="shared" si="1"/>
        <v>169.7</v>
      </c>
      <c r="L9" s="11"/>
      <c r="M9" s="11"/>
      <c r="N9" s="11">
        <v>169.7</v>
      </c>
      <c r="O9" s="11"/>
      <c r="Q9" s="5" t="s">
        <v>252</v>
      </c>
      <c r="R9" s="5">
        <f>S9/S26*100</f>
        <v>2.5964210055675609</v>
      </c>
      <c r="S9" s="5">
        <f t="shared" si="2"/>
        <v>243.9</v>
      </c>
      <c r="T9" s="5">
        <v>243.9</v>
      </c>
      <c r="Y9" s="5" t="s">
        <v>240</v>
      </c>
      <c r="Z9" s="5">
        <f>AA9/AA21*100</f>
        <v>2.9492593337355046</v>
      </c>
      <c r="AA9" s="5">
        <f t="shared" si="3"/>
        <v>352</v>
      </c>
      <c r="AB9" s="5">
        <v>352</v>
      </c>
      <c r="AH9" s="5" t="s">
        <v>154</v>
      </c>
      <c r="AI9" s="5">
        <f>AJ9/AJ21*100</f>
        <v>2.2967174486415964</v>
      </c>
      <c r="AJ9" s="5">
        <f t="shared" si="4"/>
        <v>408.40000000000003</v>
      </c>
      <c r="AK9" s="5">
        <v>37.200000000000003</v>
      </c>
      <c r="AL9" s="5">
        <v>341.1</v>
      </c>
      <c r="AN9" s="5">
        <v>30.1</v>
      </c>
      <c r="AR9" s="5" t="s">
        <v>155</v>
      </c>
      <c r="AS9" s="5">
        <f>AT9/AT21*100</f>
        <v>3.257324808052795</v>
      </c>
      <c r="AT9" s="5">
        <f t="shared" si="5"/>
        <v>761.1</v>
      </c>
      <c r="AU9" s="5">
        <v>101.5</v>
      </c>
      <c r="AV9" s="5">
        <v>546.6</v>
      </c>
      <c r="AW9" s="5">
        <v>113</v>
      </c>
      <c r="BB9" s="8" t="s">
        <v>260</v>
      </c>
      <c r="BC9" s="8">
        <f>BD9/BD17*100</f>
        <v>3.1858934494195692</v>
      </c>
      <c r="BD9" s="8">
        <f t="shared" si="6"/>
        <v>983.6</v>
      </c>
      <c r="BE9" s="8"/>
      <c r="BF9" s="8"/>
      <c r="BG9" s="8"/>
      <c r="BH9" s="8"/>
      <c r="BI9" s="8">
        <v>983.6</v>
      </c>
      <c r="BJ9" s="8"/>
      <c r="BL9" s="5" t="s">
        <v>156</v>
      </c>
      <c r="BM9" s="5">
        <f>BN9/BN15*100</f>
        <v>3.4385155993035452</v>
      </c>
      <c r="BN9" s="5">
        <f t="shared" si="7"/>
        <v>1139.5</v>
      </c>
      <c r="BT9" s="5">
        <f>BT15/2</f>
        <v>1139.5</v>
      </c>
      <c r="BV9" s="10" t="s">
        <v>157</v>
      </c>
      <c r="BW9" s="8">
        <f>BX9/BX20*100</f>
        <v>4.1050628350945599</v>
      </c>
      <c r="BX9" s="10">
        <f t="shared" si="8"/>
        <v>1337</v>
      </c>
      <c r="BY9" s="10"/>
      <c r="BZ9" s="10"/>
      <c r="CA9" s="10"/>
      <c r="CB9" s="10"/>
      <c r="CC9" s="10"/>
      <c r="CD9" s="8">
        <v>1337</v>
      </c>
      <c r="CE9" s="8"/>
      <c r="CF9" s="10" t="s">
        <v>157</v>
      </c>
      <c r="CG9" s="8">
        <f>CH9/CH20*100</f>
        <v>4.3215877667547327</v>
      </c>
      <c r="CH9" s="10">
        <f t="shared" si="9"/>
        <v>1542.5</v>
      </c>
      <c r="CI9" s="10"/>
      <c r="CJ9" s="10"/>
      <c r="CK9" s="10"/>
      <c r="CL9" s="10"/>
      <c r="CM9" s="10"/>
      <c r="CN9" s="8">
        <v>1542.5</v>
      </c>
      <c r="CP9" s="10" t="s">
        <v>157</v>
      </c>
      <c r="CQ9" s="8">
        <f>CR9/CR20*100</f>
        <v>5.1192189601748295</v>
      </c>
      <c r="CR9" s="10">
        <f t="shared" si="10"/>
        <v>1870.5</v>
      </c>
      <c r="CS9" s="10"/>
      <c r="CT9" s="10"/>
      <c r="CU9" s="10"/>
      <c r="CV9" s="10"/>
      <c r="CW9" s="10"/>
      <c r="CX9" s="8">
        <f>CX20/2</f>
        <v>1870.5</v>
      </c>
    </row>
    <row r="10" spans="1:102" s="5" customFormat="1">
      <c r="A10" s="5" t="s">
        <v>158</v>
      </c>
      <c r="B10" s="5">
        <f>C10/C25*100</f>
        <v>2.2058016033636121</v>
      </c>
      <c r="C10" s="5">
        <f t="shared" si="0"/>
        <v>140.6</v>
      </c>
      <c r="D10" s="5">
        <v>95.5</v>
      </c>
      <c r="E10" s="5">
        <v>20.9</v>
      </c>
      <c r="G10" s="5">
        <v>24.2</v>
      </c>
      <c r="I10" s="5" t="s">
        <v>259</v>
      </c>
      <c r="J10" s="5">
        <f>K10/K27*100</f>
        <v>2.6666045080534251</v>
      </c>
      <c r="K10" s="5">
        <f t="shared" si="1"/>
        <v>228.8</v>
      </c>
      <c r="L10" s="5">
        <v>228.8</v>
      </c>
      <c r="P10" s="11"/>
      <c r="Q10" s="5" t="s">
        <v>159</v>
      </c>
      <c r="R10" s="5">
        <f>S10/S26*100</f>
        <v>2.4218359113022556</v>
      </c>
      <c r="S10" s="5">
        <f>SUM(T10:W10)</f>
        <v>227.5</v>
      </c>
      <c r="T10" s="5">
        <v>227.5</v>
      </c>
      <c r="Y10" s="5" t="s">
        <v>254</v>
      </c>
      <c r="Z10" s="5">
        <f>AA10/AA21*100</f>
        <v>4.2630203096722301</v>
      </c>
      <c r="AA10" s="5">
        <f t="shared" si="3"/>
        <v>508.8</v>
      </c>
      <c r="AD10" s="5">
        <v>508.8</v>
      </c>
      <c r="AH10" s="5" t="s">
        <v>239</v>
      </c>
      <c r="AI10" s="5">
        <f>AJ10/AJ21*100</f>
        <v>5.9903609850465926</v>
      </c>
      <c r="AJ10" s="5">
        <f t="shared" si="4"/>
        <v>1065.2</v>
      </c>
      <c r="AM10" s="5">
        <v>1065.2</v>
      </c>
      <c r="AR10" s="5" t="s">
        <v>160</v>
      </c>
      <c r="AS10" s="5">
        <f>AT10/AT21*100</f>
        <v>2.4505901788083437</v>
      </c>
      <c r="AT10" s="5">
        <f t="shared" si="5"/>
        <v>572.6</v>
      </c>
      <c r="AW10" s="5">
        <v>449.8</v>
      </c>
      <c r="AY10" s="5">
        <v>122.8</v>
      </c>
      <c r="BB10" s="8" t="s">
        <v>155</v>
      </c>
      <c r="BC10" s="8">
        <f>BD10/BD17*100</f>
        <v>2.4655368988391375</v>
      </c>
      <c r="BD10" s="8">
        <f t="shared" si="6"/>
        <v>761.2</v>
      </c>
      <c r="BE10" s="9">
        <v>215.9</v>
      </c>
      <c r="BF10" s="9">
        <v>512.1</v>
      </c>
      <c r="BG10" s="8"/>
      <c r="BH10" s="8">
        <v>33.200000000000003</v>
      </c>
      <c r="BI10" s="8"/>
      <c r="BJ10" s="8"/>
      <c r="BL10" s="5" t="s">
        <v>155</v>
      </c>
      <c r="BM10" s="5">
        <f>BN10/BN15*100</f>
        <v>2.8356060628920945</v>
      </c>
      <c r="BN10" s="5">
        <f t="shared" si="7"/>
        <v>939.69999999999993</v>
      </c>
      <c r="BO10" s="5">
        <v>613.5</v>
      </c>
      <c r="BP10" s="5">
        <v>284.39999999999998</v>
      </c>
      <c r="BR10" s="8">
        <v>41.8</v>
      </c>
      <c r="BV10" s="10" t="s">
        <v>161</v>
      </c>
      <c r="BW10" s="8">
        <f>BX10/BX20*100</f>
        <v>3.2266346547500913</v>
      </c>
      <c r="BX10" s="10">
        <f t="shared" si="8"/>
        <v>1050.8999999999999</v>
      </c>
      <c r="BY10" s="10">
        <v>307.8</v>
      </c>
      <c r="BZ10" s="10">
        <v>639.70000000000005</v>
      </c>
      <c r="CA10" s="12">
        <v>19.3</v>
      </c>
      <c r="CB10" s="5">
        <v>84.1</v>
      </c>
      <c r="CD10" s="8"/>
      <c r="CE10" s="8"/>
      <c r="CF10" s="10" t="s">
        <v>161</v>
      </c>
      <c r="CG10" s="8">
        <f>CH10/CH20*100</f>
        <v>3.1230300704061591</v>
      </c>
      <c r="CH10" s="10">
        <f t="shared" si="9"/>
        <v>1114.7</v>
      </c>
      <c r="CI10" s="10">
        <v>345.2</v>
      </c>
      <c r="CJ10" s="10">
        <v>652.70000000000005</v>
      </c>
      <c r="CK10" s="12">
        <v>21.4</v>
      </c>
      <c r="CL10" s="8">
        <v>95.4</v>
      </c>
      <c r="CM10" s="10"/>
      <c r="CN10" s="8"/>
      <c r="CO10" s="11"/>
      <c r="CP10" s="10" t="s">
        <v>161</v>
      </c>
      <c r="CQ10" s="8">
        <f>CR10/CR20*100</f>
        <v>3.0540157378557033</v>
      </c>
      <c r="CR10" s="10">
        <f t="shared" si="10"/>
        <v>1115.9000000000001</v>
      </c>
      <c r="CS10" s="10">
        <v>373</v>
      </c>
      <c r="CT10" s="10">
        <v>631.5</v>
      </c>
      <c r="CU10" s="8">
        <v>16.7</v>
      </c>
      <c r="CV10" s="8">
        <v>94.7</v>
      </c>
      <c r="CW10" s="10"/>
      <c r="CX10" s="8"/>
    </row>
    <row r="11" spans="1:102" s="5" customFormat="1">
      <c r="A11" s="5" t="s">
        <v>162</v>
      </c>
      <c r="B11" s="5">
        <f>C11/C25*100</f>
        <v>1.165654759103246</v>
      </c>
      <c r="C11" s="5">
        <f t="shared" si="0"/>
        <v>74.3</v>
      </c>
      <c r="D11" s="5">
        <v>55.4</v>
      </c>
      <c r="E11" s="5">
        <v>18.899999999999999</v>
      </c>
      <c r="I11" s="5" t="s">
        <v>163</v>
      </c>
      <c r="J11" s="5">
        <f>K11/K27*100</f>
        <v>1.6503111815575393</v>
      </c>
      <c r="K11" s="5">
        <f t="shared" si="1"/>
        <v>141.6</v>
      </c>
      <c r="L11" s="5">
        <v>141.6</v>
      </c>
      <c r="Q11" s="5" t="s">
        <v>164</v>
      </c>
      <c r="R11" s="5">
        <f>S11/S26*100</f>
        <v>1.7958844757656725</v>
      </c>
      <c r="S11" s="5">
        <f>SUM(T11:W11)</f>
        <v>168.7</v>
      </c>
      <c r="T11" s="5">
        <v>168.7</v>
      </c>
      <c r="Y11" s="5" t="s">
        <v>165</v>
      </c>
      <c r="Z11" s="5">
        <f>AA11/AA21*100</f>
        <v>3.1059387358402035</v>
      </c>
      <c r="AA11" s="5">
        <f t="shared" si="3"/>
        <v>370.7</v>
      </c>
      <c r="AD11" s="5">
        <v>370.7</v>
      </c>
      <c r="AH11" s="5" t="s">
        <v>166</v>
      </c>
      <c r="AI11" s="5">
        <f>AJ11/AJ21*100</f>
        <v>2.310214319054769</v>
      </c>
      <c r="AJ11" s="5">
        <f t="shared" si="4"/>
        <v>410.8</v>
      </c>
      <c r="AM11" s="5">
        <v>410.8</v>
      </c>
      <c r="AR11" s="5" t="s">
        <v>166</v>
      </c>
      <c r="AS11" s="5">
        <f>AT11/AT21*100</f>
        <v>2.1112052658158507</v>
      </c>
      <c r="AT11" s="5">
        <f t="shared" si="5"/>
        <v>493.3</v>
      </c>
      <c r="AX11" s="5">
        <v>493.3</v>
      </c>
      <c r="BB11" s="8" t="s">
        <v>157</v>
      </c>
      <c r="BC11" s="8">
        <f>BD11/BD17*100</f>
        <v>2.6057861733001659</v>
      </c>
      <c r="BD11" s="8">
        <f t="shared" si="6"/>
        <v>804.5</v>
      </c>
      <c r="BE11" s="8"/>
      <c r="BF11" s="8"/>
      <c r="BG11" s="8"/>
      <c r="BH11" s="8"/>
      <c r="BI11" s="6"/>
      <c r="BJ11" s="8">
        <f>BJ17/2</f>
        <v>804.5</v>
      </c>
      <c r="BL11" s="5" t="s">
        <v>167</v>
      </c>
      <c r="BM11" s="5">
        <f>BN11/BN15*100</f>
        <v>2.5766989646733633</v>
      </c>
      <c r="BN11" s="5">
        <f t="shared" si="7"/>
        <v>853.9</v>
      </c>
      <c r="BQ11" s="5">
        <v>527.9</v>
      </c>
      <c r="BR11" s="5">
        <v>326</v>
      </c>
      <c r="BV11" s="10" t="s">
        <v>260</v>
      </c>
      <c r="BW11" s="8">
        <f>BX11/BX20*100</f>
        <v>3.0322812684662583</v>
      </c>
      <c r="BX11" s="10">
        <f t="shared" si="8"/>
        <v>987.6</v>
      </c>
      <c r="BY11" s="10"/>
      <c r="BZ11" s="10"/>
      <c r="CA11" s="10"/>
      <c r="CB11" s="10"/>
      <c r="CC11" s="10">
        <v>987.6</v>
      </c>
      <c r="CD11" s="8"/>
      <c r="CE11" s="8"/>
      <c r="CF11" s="10" t="s">
        <v>260</v>
      </c>
      <c r="CG11" s="8">
        <f>CH11/CH20*100</f>
        <v>2.5663367224293907</v>
      </c>
      <c r="CH11" s="10">
        <f t="shared" si="9"/>
        <v>916</v>
      </c>
      <c r="CI11" s="10"/>
      <c r="CJ11" s="10"/>
      <c r="CM11" s="10">
        <v>916</v>
      </c>
      <c r="CN11" s="8"/>
      <c r="CP11" s="10" t="s">
        <v>260</v>
      </c>
      <c r="CQ11" s="8">
        <f>CR11/CR20*100</f>
        <v>2.5466095923243408</v>
      </c>
      <c r="CR11" s="10">
        <f t="shared" si="10"/>
        <v>930.5</v>
      </c>
      <c r="CS11" s="10"/>
      <c r="CT11" s="10"/>
      <c r="CU11" s="10"/>
      <c r="CV11" s="10"/>
      <c r="CW11" s="10">
        <v>930.5</v>
      </c>
      <c r="CX11" s="8"/>
    </row>
    <row r="12" spans="1:102" s="5" customFormat="1">
      <c r="A12" s="5" t="s">
        <v>168</v>
      </c>
      <c r="B12" s="5">
        <f>C12/C25*100</f>
        <v>1.3303838973345257</v>
      </c>
      <c r="C12" s="5">
        <f t="shared" si="0"/>
        <v>84.8</v>
      </c>
      <c r="D12" s="5">
        <v>84.8</v>
      </c>
      <c r="E12" s="7"/>
      <c r="F12" s="7"/>
      <c r="I12" s="5" t="s">
        <v>169</v>
      </c>
      <c r="J12" s="5">
        <f>K12/K27*100</f>
        <v>1.7342253094333466</v>
      </c>
      <c r="K12" s="5">
        <f t="shared" si="1"/>
        <v>148.80000000000001</v>
      </c>
      <c r="L12" s="5">
        <v>122.8</v>
      </c>
      <c r="O12" s="5">
        <v>26</v>
      </c>
      <c r="Q12" s="5" t="s">
        <v>155</v>
      </c>
      <c r="R12" s="5">
        <f>S12/S26*100</f>
        <v>1.1678039537136591</v>
      </c>
      <c r="S12" s="5">
        <f>SUM(T12:W12)</f>
        <v>109.7</v>
      </c>
      <c r="U12" s="5">
        <v>109.7</v>
      </c>
      <c r="Y12" s="5" t="s">
        <v>170</v>
      </c>
      <c r="Z12" s="5">
        <f>AA12/AA21*100</f>
        <v>2.0041557745157181</v>
      </c>
      <c r="AA12" s="5">
        <f t="shared" si="3"/>
        <v>239.2</v>
      </c>
      <c r="AB12" s="5">
        <v>169.5</v>
      </c>
      <c r="AF12" s="5">
        <v>69.7</v>
      </c>
      <c r="AH12" s="5" t="s">
        <v>170</v>
      </c>
      <c r="AI12" s="5">
        <f>AJ12/AJ21*100</f>
        <v>2.0503995636011898</v>
      </c>
      <c r="AJ12" s="5">
        <f t="shared" si="4"/>
        <v>364.59999999999997</v>
      </c>
      <c r="AK12" s="5">
        <v>266.39999999999998</v>
      </c>
      <c r="AO12" s="5">
        <v>98.2</v>
      </c>
      <c r="AR12" s="5" t="s">
        <v>167</v>
      </c>
      <c r="AS12" s="5">
        <f>AT12/AT21*100</f>
        <v>2.0979380119662072</v>
      </c>
      <c r="AT12" s="5">
        <f t="shared" si="5"/>
        <v>490.20000000000005</v>
      </c>
      <c r="AW12" s="5">
        <v>370.8</v>
      </c>
      <c r="AY12" s="5">
        <v>119.4</v>
      </c>
      <c r="BB12" s="8" t="s">
        <v>171</v>
      </c>
      <c r="BC12" s="8">
        <f>BD12/BD17*100</f>
        <v>1.9000051824212272</v>
      </c>
      <c r="BD12" s="8">
        <f t="shared" si="6"/>
        <v>586.6</v>
      </c>
      <c r="BE12" s="8"/>
      <c r="BF12" s="8"/>
      <c r="BG12" s="8"/>
      <c r="BH12" s="8"/>
      <c r="BI12" s="9">
        <v>586.6</v>
      </c>
      <c r="BJ12" s="8"/>
      <c r="BL12" s="5" t="s">
        <v>248</v>
      </c>
      <c r="BM12" s="5">
        <f>BN12/BN15*100</f>
        <v>2.1448853777840813</v>
      </c>
      <c r="BN12" s="5">
        <f t="shared" si="7"/>
        <v>710.80000000000007</v>
      </c>
      <c r="BO12" s="9">
        <v>138.6</v>
      </c>
      <c r="BP12" s="5">
        <v>572.20000000000005</v>
      </c>
      <c r="BV12" s="10" t="s">
        <v>172</v>
      </c>
      <c r="BW12" s="8">
        <f>BX12/BX20*100</f>
        <v>0.5664802491211266</v>
      </c>
      <c r="BX12" s="10">
        <f t="shared" si="8"/>
        <v>184.5</v>
      </c>
      <c r="BY12" s="10">
        <v>124.7</v>
      </c>
      <c r="BZ12" s="10">
        <v>59.8</v>
      </c>
      <c r="CA12" s="10"/>
      <c r="CB12" s="10"/>
      <c r="CC12" s="10"/>
      <c r="CD12" s="8"/>
      <c r="CE12" s="8"/>
      <c r="CF12" s="10" t="s">
        <v>172</v>
      </c>
      <c r="CG12" s="8">
        <f>CH12/CH20*100</f>
        <v>0.57798609807552759</v>
      </c>
      <c r="CH12" s="10">
        <f t="shared" si="9"/>
        <v>206.3</v>
      </c>
      <c r="CI12" s="10">
        <v>136</v>
      </c>
      <c r="CJ12" s="10">
        <v>70.3</v>
      </c>
      <c r="CK12" s="10"/>
      <c r="CL12" s="10"/>
      <c r="CM12" s="10"/>
      <c r="CN12" s="8"/>
      <c r="CP12" s="10" t="s">
        <v>172</v>
      </c>
      <c r="CQ12" s="8">
        <f>CR12/CR20*100</f>
        <v>0.5750055618993487</v>
      </c>
      <c r="CR12" s="10">
        <f t="shared" si="10"/>
        <v>210.1</v>
      </c>
      <c r="CS12" s="10">
        <v>140</v>
      </c>
      <c r="CT12" s="10">
        <v>70.099999999999994</v>
      </c>
      <c r="CU12" s="10"/>
      <c r="CV12" s="10"/>
      <c r="CW12" s="10"/>
      <c r="CX12" s="8"/>
    </row>
    <row r="13" spans="1:102" s="5" customFormat="1">
      <c r="A13" s="5" t="s">
        <v>163</v>
      </c>
      <c r="B13" s="5">
        <f>C13/C25*100</f>
        <v>1.3303838973345257</v>
      </c>
      <c r="C13" s="5">
        <f t="shared" si="0"/>
        <v>84.8</v>
      </c>
      <c r="D13" s="5">
        <v>84.8</v>
      </c>
      <c r="I13" s="5" t="s">
        <v>173</v>
      </c>
      <c r="J13" s="5">
        <f>K13/K27*100</f>
        <v>0.90906971865457664</v>
      </c>
      <c r="K13" s="5">
        <f t="shared" si="1"/>
        <v>78</v>
      </c>
      <c r="N13" s="5">
        <v>78</v>
      </c>
      <c r="Q13" s="5" t="s">
        <v>241</v>
      </c>
      <c r="R13" s="5">
        <f>S13/S26*100</f>
        <v>1.8129171678891169</v>
      </c>
      <c r="S13" s="5">
        <f>SUM(T13:W13)</f>
        <v>170.29999999999998</v>
      </c>
      <c r="U13" s="5">
        <v>164.6</v>
      </c>
      <c r="W13" s="5">
        <v>5.7</v>
      </c>
      <c r="Y13" s="5" t="s">
        <v>174</v>
      </c>
      <c r="Z13" s="5">
        <f>AA13/AA21*100</f>
        <v>1.8114484885045912</v>
      </c>
      <c r="AA13" s="5">
        <f t="shared" si="3"/>
        <v>216.2</v>
      </c>
      <c r="AB13" s="5">
        <v>216.2</v>
      </c>
      <c r="AH13" s="5" t="s">
        <v>175</v>
      </c>
      <c r="AI13" s="5">
        <f>AJ13/AJ21*100</f>
        <v>1.3974884573639486</v>
      </c>
      <c r="AJ13" s="5">
        <f t="shared" si="4"/>
        <v>248.5</v>
      </c>
      <c r="AK13" s="5">
        <v>207.7</v>
      </c>
      <c r="AO13" s="5">
        <v>40.799999999999997</v>
      </c>
      <c r="AR13" s="5" t="s">
        <v>176</v>
      </c>
      <c r="AS13" s="5">
        <f>AT13/AT21*100</f>
        <v>1.2248671134735383</v>
      </c>
      <c r="AT13" s="5">
        <f t="shared" si="5"/>
        <v>286.2</v>
      </c>
      <c r="AX13" s="5">
        <v>286.2</v>
      </c>
      <c r="BB13" s="8" t="s">
        <v>248</v>
      </c>
      <c r="BC13" s="8">
        <f>BD13/BD17*100</f>
        <v>1.7471237562189053</v>
      </c>
      <c r="BD13" s="8">
        <f t="shared" si="6"/>
        <v>539.4</v>
      </c>
      <c r="BE13" s="9">
        <v>505.6</v>
      </c>
      <c r="BF13" s="9">
        <v>33.799999999999997</v>
      </c>
      <c r="BG13" s="8"/>
      <c r="BH13" s="8"/>
      <c r="BI13" s="8"/>
      <c r="BJ13" s="8"/>
      <c r="BL13" s="5" t="s">
        <v>177</v>
      </c>
      <c r="BM13" s="5">
        <f>BN13/BN15*100</f>
        <v>1.5812041895875892</v>
      </c>
      <c r="BN13" s="5">
        <f t="shared" si="7"/>
        <v>524</v>
      </c>
      <c r="BS13" s="5">
        <v>524</v>
      </c>
      <c r="BV13" s="10" t="s">
        <v>178</v>
      </c>
      <c r="BW13" s="8">
        <f>BX13/BX20*100</f>
        <v>3.1289974085601093</v>
      </c>
      <c r="BX13" s="10">
        <f t="shared" si="8"/>
        <v>1019.1</v>
      </c>
      <c r="BY13" s="10"/>
      <c r="BZ13" s="10"/>
      <c r="CA13" s="10"/>
      <c r="CB13" s="10"/>
      <c r="CC13" s="10">
        <v>1019.1</v>
      </c>
      <c r="CD13" s="8"/>
      <c r="CE13" s="8"/>
      <c r="CF13" s="10" t="s">
        <v>178</v>
      </c>
      <c r="CG13" s="8">
        <f>CH13/CH20*100</f>
        <v>2.3307156325207532</v>
      </c>
      <c r="CH13" s="10">
        <f t="shared" si="9"/>
        <v>831.9</v>
      </c>
      <c r="CI13" s="10"/>
      <c r="CJ13" s="10"/>
      <c r="CK13" s="10"/>
      <c r="CL13" s="10"/>
      <c r="CM13" s="10">
        <v>831.9</v>
      </c>
      <c r="CN13" s="8"/>
      <c r="CP13" s="10" t="s">
        <v>178</v>
      </c>
      <c r="CQ13" s="8">
        <f>CR13/CR20*100</f>
        <v>2.0569927668898167</v>
      </c>
      <c r="CR13" s="10">
        <f t="shared" si="10"/>
        <v>751.6</v>
      </c>
      <c r="CS13" s="10"/>
      <c r="CT13" s="10"/>
      <c r="CU13" s="10"/>
      <c r="CV13" s="10"/>
      <c r="CW13" s="10">
        <v>751.6</v>
      </c>
      <c r="CX13" s="8"/>
    </row>
    <row r="14" spans="1:102" s="5" customFormat="1">
      <c r="A14" s="5" t="s">
        <v>170</v>
      </c>
      <c r="B14" s="5">
        <f>C14/C25*100</f>
        <v>1.6331717418929734</v>
      </c>
      <c r="C14" s="5">
        <f t="shared" si="0"/>
        <v>104.10000000000001</v>
      </c>
      <c r="D14" s="5">
        <v>73.900000000000006</v>
      </c>
      <c r="G14" s="5">
        <v>30.2</v>
      </c>
      <c r="I14" s="5" t="s">
        <v>170</v>
      </c>
      <c r="J14" s="5">
        <f>K14/K27*100</f>
        <v>1.3169856180508612</v>
      </c>
      <c r="K14" s="5">
        <f t="shared" si="1"/>
        <v>113</v>
      </c>
      <c r="L14" s="5">
        <v>113</v>
      </c>
      <c r="Q14" s="5" t="s">
        <v>166</v>
      </c>
      <c r="R14" s="5">
        <f>S14/S26*100</f>
        <v>1.7224309909833184</v>
      </c>
      <c r="S14" s="5">
        <f>SUM(T14:W14)</f>
        <v>161.80000000000001</v>
      </c>
      <c r="V14" s="5">
        <v>161.80000000000001</v>
      </c>
      <c r="Y14" s="5" t="s">
        <v>162</v>
      </c>
      <c r="Z14" s="5">
        <f>AA14/AA21*100</f>
        <v>2.0217507875862992</v>
      </c>
      <c r="AA14" s="5">
        <f t="shared" si="3"/>
        <v>241.29999999999998</v>
      </c>
      <c r="AB14" s="5">
        <v>65.099999999999994</v>
      </c>
      <c r="AC14" s="5">
        <v>130.6</v>
      </c>
      <c r="AD14" s="5">
        <v>45.6</v>
      </c>
      <c r="AH14" s="5" t="s">
        <v>179</v>
      </c>
      <c r="AI14" s="5">
        <f>AJ14/AJ21*100</f>
        <v>3.1470202846714916</v>
      </c>
      <c r="AJ14" s="5">
        <f t="shared" si="4"/>
        <v>559.6</v>
      </c>
      <c r="AM14" s="5">
        <v>559.6</v>
      </c>
      <c r="AR14" s="5" t="s">
        <v>180</v>
      </c>
      <c r="AS14" s="5">
        <f>AT14/AT21*100</f>
        <v>1.0232904501450839</v>
      </c>
      <c r="AT14" s="5">
        <f t="shared" si="5"/>
        <v>239.1</v>
      </c>
      <c r="AW14" s="5">
        <v>239.1</v>
      </c>
      <c r="BB14" s="8" t="s">
        <v>181</v>
      </c>
      <c r="BC14" s="8">
        <f>BD14/BD17*100</f>
        <v>0.4735437396351575</v>
      </c>
      <c r="BD14" s="8">
        <f t="shared" si="6"/>
        <v>146.19999999999999</v>
      </c>
      <c r="BE14" s="8">
        <v>146.19999999999999</v>
      </c>
      <c r="BF14" s="8"/>
      <c r="BG14" s="8"/>
      <c r="BH14" s="8"/>
      <c r="BI14" s="9"/>
      <c r="BJ14" s="8"/>
      <c r="BL14" s="5" t="s">
        <v>181</v>
      </c>
      <c r="BM14" s="5">
        <f>BN14/BN15*100</f>
        <v>1.4620103623190592</v>
      </c>
      <c r="BN14" s="5">
        <f t="shared" si="7"/>
        <v>484.5</v>
      </c>
      <c r="BO14" s="9">
        <v>310.60000000000002</v>
      </c>
      <c r="BP14" s="5">
        <v>173.9</v>
      </c>
      <c r="BV14" s="13" t="s">
        <v>167</v>
      </c>
      <c r="BW14" s="8">
        <f>BX14/BX20*100</f>
        <v>2.7577916518189483</v>
      </c>
      <c r="BX14" s="10">
        <f t="shared" si="8"/>
        <v>898.2</v>
      </c>
      <c r="BY14" s="13"/>
      <c r="BZ14" s="13"/>
      <c r="CA14" s="13">
        <v>557.9</v>
      </c>
      <c r="CB14" s="13">
        <v>340.3</v>
      </c>
      <c r="CC14" s="13"/>
      <c r="CD14" s="13"/>
      <c r="CE14" s="13"/>
      <c r="CF14" s="13" t="s">
        <v>167</v>
      </c>
      <c r="CG14" s="8">
        <f>CH14/CH20*100</f>
        <v>2.4979757879017952</v>
      </c>
      <c r="CH14" s="10">
        <f t="shared" si="9"/>
        <v>891.6</v>
      </c>
      <c r="CI14" s="13"/>
      <c r="CJ14" s="13"/>
      <c r="CK14" s="13">
        <v>561.6</v>
      </c>
      <c r="CL14" s="13">
        <v>330</v>
      </c>
      <c r="CM14" s="13"/>
      <c r="CN14" s="13"/>
      <c r="CP14" s="13" t="s">
        <v>167</v>
      </c>
      <c r="CQ14" s="8">
        <f>CR14/CR20*100</f>
        <v>0</v>
      </c>
      <c r="CR14" s="10">
        <f t="shared" si="10"/>
        <v>0</v>
      </c>
      <c r="CS14" s="13"/>
      <c r="CT14" s="13"/>
      <c r="CU14" s="13"/>
      <c r="CV14" s="13"/>
      <c r="CW14" s="13"/>
      <c r="CX14" s="13"/>
    </row>
    <row r="15" spans="1:102" s="5" customFormat="1">
      <c r="A15" s="5" t="s">
        <v>182</v>
      </c>
      <c r="B15" s="5">
        <f>C15/C25*100</f>
        <v>0.88953734644891047</v>
      </c>
      <c r="C15" s="5">
        <f t="shared" si="0"/>
        <v>56.7</v>
      </c>
      <c r="F15" s="5">
        <v>56.7</v>
      </c>
      <c r="I15" s="5" t="s">
        <v>162</v>
      </c>
      <c r="J15" s="5">
        <f>K15/K27*100</f>
        <v>1.8321251252884547</v>
      </c>
      <c r="K15" s="5">
        <f t="shared" si="1"/>
        <v>157.19999999999999</v>
      </c>
      <c r="L15" s="5">
        <v>67.400000000000006</v>
      </c>
      <c r="M15" s="5">
        <v>36.799999999999997</v>
      </c>
      <c r="N15" s="5">
        <v>53</v>
      </c>
      <c r="Q15" s="5" t="s">
        <v>183</v>
      </c>
      <c r="R15" s="5">
        <f>S15/S26*100</f>
        <v>3.6513833739634007</v>
      </c>
      <c r="S15" s="5">
        <f t="shared" ref="S15:S26" si="11">SUM(T15:W15)</f>
        <v>343</v>
      </c>
      <c r="T15" s="5">
        <v>105.5</v>
      </c>
      <c r="U15" s="5">
        <v>48.8</v>
      </c>
      <c r="V15" s="5">
        <v>188.7</v>
      </c>
      <c r="Y15" s="5" t="s">
        <v>166</v>
      </c>
      <c r="Z15" s="5">
        <f>AA15/AA21*100</f>
        <v>1.5810376030565048</v>
      </c>
      <c r="AA15" s="5">
        <f t="shared" si="3"/>
        <v>188.7</v>
      </c>
      <c r="AD15" s="5">
        <v>188.7</v>
      </c>
      <c r="AH15" s="5" t="s">
        <v>184</v>
      </c>
      <c r="AI15" s="5">
        <f>AJ15/AJ21*100</f>
        <v>0.89360529527215871</v>
      </c>
      <c r="AJ15" s="5">
        <f t="shared" si="4"/>
        <v>158.9</v>
      </c>
      <c r="AL15" s="5">
        <v>158.9</v>
      </c>
      <c r="AR15" s="5" t="s">
        <v>185</v>
      </c>
      <c r="AS15" s="5">
        <f>AT15/AT21*100</f>
        <v>0.69717279100223406</v>
      </c>
      <c r="AT15" s="5">
        <f t="shared" si="5"/>
        <v>162.9</v>
      </c>
      <c r="AY15" s="5">
        <v>162.9</v>
      </c>
      <c r="BB15" s="8" t="s">
        <v>172</v>
      </c>
      <c r="BC15" s="8">
        <f>BD15/BD17*100</f>
        <v>0.41945221807628519</v>
      </c>
      <c r="BD15" s="8">
        <f t="shared" si="6"/>
        <v>129.5</v>
      </c>
      <c r="BE15" s="9">
        <v>89.8</v>
      </c>
      <c r="BF15" s="9">
        <v>39.700000000000003</v>
      </c>
      <c r="BG15" s="8"/>
      <c r="BH15" s="8"/>
      <c r="BI15" s="8"/>
      <c r="BJ15" s="8"/>
      <c r="BL15" s="14" t="s">
        <v>186</v>
      </c>
      <c r="BM15" s="14"/>
      <c r="BN15" s="14">
        <f t="shared" si="7"/>
        <v>33139.300000000003</v>
      </c>
      <c r="BO15" s="14">
        <v>8100</v>
      </c>
      <c r="BP15" s="14">
        <v>6800</v>
      </c>
      <c r="BQ15" s="14">
        <v>6890</v>
      </c>
      <c r="BR15" s="14">
        <v>1992.2</v>
      </c>
      <c r="BS15" s="14">
        <f>4943.1+2135</f>
        <v>7078.1</v>
      </c>
      <c r="BT15" s="14">
        <v>2279</v>
      </c>
      <c r="BV15" s="10" t="s">
        <v>187</v>
      </c>
      <c r="BW15" s="8">
        <f>BX15/BX20*100</f>
        <v>1.5256587305598255</v>
      </c>
      <c r="BX15" s="10">
        <f t="shared" si="8"/>
        <v>496.9</v>
      </c>
      <c r="BY15" s="10">
        <v>170.5</v>
      </c>
      <c r="BZ15" s="10">
        <v>326.39999999999998</v>
      </c>
      <c r="CA15" s="10"/>
      <c r="CB15" s="10"/>
      <c r="CC15" s="6"/>
      <c r="CD15" s="8"/>
      <c r="CE15" s="8"/>
      <c r="CF15" s="10" t="s">
        <v>187</v>
      </c>
      <c r="CG15" s="8">
        <f>CH15/CH20*100</f>
        <v>1.4661179114053493</v>
      </c>
      <c r="CH15" s="10">
        <f t="shared" si="9"/>
        <v>523.29999999999995</v>
      </c>
      <c r="CI15" s="10">
        <v>191.6</v>
      </c>
      <c r="CJ15" s="10">
        <v>331.7</v>
      </c>
      <c r="CK15" s="10"/>
      <c r="CL15" s="10"/>
      <c r="CM15" s="6"/>
      <c r="CN15" s="8"/>
      <c r="CO15" s="11"/>
      <c r="CP15" s="10" t="s">
        <v>187</v>
      </c>
      <c r="CQ15" s="8">
        <f>CR15/CR20*100</f>
        <v>1.4641978848936295</v>
      </c>
      <c r="CR15" s="10">
        <f t="shared" si="10"/>
        <v>535</v>
      </c>
      <c r="CS15" s="10">
        <v>202.3</v>
      </c>
      <c r="CT15" s="10">
        <v>332.7</v>
      </c>
      <c r="CU15" s="10"/>
      <c r="CV15" s="10"/>
      <c r="CW15" s="6"/>
      <c r="CX15" s="8"/>
    </row>
    <row r="16" spans="1:102" s="5" customFormat="1" ht="19" customHeight="1">
      <c r="A16" s="5" t="s">
        <v>188</v>
      </c>
      <c r="B16" s="5">
        <f>C16/C25*100</f>
        <v>0.91620777835302247</v>
      </c>
      <c r="C16" s="5">
        <f t="shared" si="0"/>
        <v>58.4</v>
      </c>
      <c r="D16" s="5">
        <v>58.4</v>
      </c>
      <c r="I16" s="5" t="s">
        <v>189</v>
      </c>
      <c r="J16" s="5">
        <f>K16/K27*100</f>
        <v>0.73424861891331195</v>
      </c>
      <c r="K16" s="5">
        <f t="shared" si="1"/>
        <v>63</v>
      </c>
      <c r="N16" s="5">
        <v>63</v>
      </c>
      <c r="Q16" s="5" t="s">
        <v>160</v>
      </c>
      <c r="R16" s="5">
        <f>S16/S26*100</f>
        <v>2.30367160969586</v>
      </c>
      <c r="S16" s="5">
        <f t="shared" si="11"/>
        <v>216.4</v>
      </c>
      <c r="T16" s="5">
        <v>142.4</v>
      </c>
      <c r="W16" s="5">
        <v>74</v>
      </c>
      <c r="Y16" s="5" t="s">
        <v>190</v>
      </c>
      <c r="Z16" s="5">
        <f>AA16/AA21*100</f>
        <v>1.2819223808566256</v>
      </c>
      <c r="AA16" s="5">
        <f t="shared" si="3"/>
        <v>153</v>
      </c>
      <c r="AC16" s="5">
        <v>152.80000000000001</v>
      </c>
      <c r="AE16" s="5">
        <v>0.2</v>
      </c>
      <c r="AH16" s="5" t="s">
        <v>191</v>
      </c>
      <c r="AI16" s="5">
        <f>AJ16/AJ21*100</f>
        <v>0.63660238782132395</v>
      </c>
      <c r="AJ16" s="5">
        <f t="shared" si="4"/>
        <v>113.2</v>
      </c>
      <c r="AL16" s="5">
        <v>113.2</v>
      </c>
      <c r="AR16" s="5" t="s">
        <v>191</v>
      </c>
      <c r="AS16" s="5">
        <f>AT16/AT21*100</f>
        <v>0</v>
      </c>
      <c r="AT16" s="5">
        <f t="shared" si="5"/>
        <v>0</v>
      </c>
      <c r="BB16" s="8" t="s">
        <v>192</v>
      </c>
      <c r="BC16" s="8">
        <f>BD16/BD17*100</f>
        <v>0.43694288971807627</v>
      </c>
      <c r="BD16" s="8">
        <f t="shared" si="6"/>
        <v>134.9</v>
      </c>
      <c r="BE16" s="9">
        <v>84.9</v>
      </c>
      <c r="BF16" s="9">
        <v>50</v>
      </c>
      <c r="BG16" s="8"/>
      <c r="BH16" s="8"/>
      <c r="BI16" s="8"/>
      <c r="BJ16" s="8"/>
      <c r="BV16" s="10" t="s">
        <v>171</v>
      </c>
      <c r="BW16" s="8">
        <f>BX16/BX20*100</f>
        <v>1.7356709204779015</v>
      </c>
      <c r="BX16" s="10">
        <f t="shared" si="8"/>
        <v>565.29999999999995</v>
      </c>
      <c r="BY16" s="10"/>
      <c r="BZ16" s="10"/>
      <c r="CA16" s="10"/>
      <c r="CB16" s="10"/>
      <c r="CC16" s="10">
        <v>565.29999999999995</v>
      </c>
      <c r="CD16" s="8"/>
      <c r="CE16" s="8"/>
      <c r="CF16" s="10" t="s">
        <v>171</v>
      </c>
      <c r="CG16" s="8">
        <f>CH16/CH20*100</f>
        <v>1.3083834600158575</v>
      </c>
      <c r="CH16" s="10">
        <f t="shared" si="9"/>
        <v>467</v>
      </c>
      <c r="CI16" s="10"/>
      <c r="CJ16" s="10"/>
      <c r="CK16" s="10"/>
      <c r="CL16" s="10"/>
      <c r="CM16" s="10">
        <v>467</v>
      </c>
      <c r="CN16" s="8"/>
      <c r="CO16" s="11"/>
      <c r="CP16" s="10" t="s">
        <v>171</v>
      </c>
      <c r="CQ16" s="8">
        <f>CR16/CR20*100</f>
        <v>1.0087912904145644</v>
      </c>
      <c r="CR16" s="10">
        <f t="shared" si="10"/>
        <v>368.6</v>
      </c>
      <c r="CS16" s="10"/>
      <c r="CT16" s="10"/>
      <c r="CU16" s="10"/>
      <c r="CV16" s="10"/>
      <c r="CW16" s="10">
        <v>368.6</v>
      </c>
      <c r="CX16" s="8"/>
    </row>
    <row r="17" spans="1:107" s="5" customFormat="1">
      <c r="A17" s="5" t="s">
        <v>189</v>
      </c>
      <c r="B17" s="5">
        <f>C17/C25*100</f>
        <v>0.72323935928209482</v>
      </c>
      <c r="C17" s="5">
        <f t="shared" si="0"/>
        <v>46.1</v>
      </c>
      <c r="F17" s="5">
        <v>46.1</v>
      </c>
      <c r="I17" s="5" t="s">
        <v>188</v>
      </c>
      <c r="J17" s="5">
        <f>K17/K27*100</f>
        <v>0.84496864874944633</v>
      </c>
      <c r="K17" s="5">
        <f t="shared" si="1"/>
        <v>72.5</v>
      </c>
      <c r="L17" s="5">
        <v>72.5</v>
      </c>
      <c r="Q17" s="5" t="s">
        <v>173</v>
      </c>
      <c r="R17" s="5">
        <f>S17/S26*100</f>
        <v>0.96873436452090222</v>
      </c>
      <c r="S17" s="5">
        <f t="shared" si="11"/>
        <v>91</v>
      </c>
      <c r="V17" s="5">
        <v>91</v>
      </c>
      <c r="Y17" s="5" t="s">
        <v>175</v>
      </c>
      <c r="Z17" s="5">
        <f>AA17/AA21*100</f>
        <v>0.92248139955761099</v>
      </c>
      <c r="AA17" s="5">
        <f t="shared" si="3"/>
        <v>110.1</v>
      </c>
      <c r="AB17" s="5">
        <v>110.1</v>
      </c>
      <c r="AH17" s="5" t="s">
        <v>189</v>
      </c>
      <c r="AI17" s="5">
        <f>AJ17/AJ21*100</f>
        <v>0</v>
      </c>
      <c r="AJ17" s="5">
        <f t="shared" si="4"/>
        <v>0</v>
      </c>
      <c r="AR17" s="5" t="s">
        <v>193</v>
      </c>
      <c r="AS17" s="5">
        <f>AT17/AT21*100</f>
        <v>0.80716260517508498</v>
      </c>
      <c r="AT17" s="5">
        <f t="shared" si="5"/>
        <v>188.6</v>
      </c>
      <c r="AX17" s="5">
        <v>188.6</v>
      </c>
      <c r="BB17" s="15" t="s">
        <v>186</v>
      </c>
      <c r="BC17" s="15"/>
      <c r="BD17" s="15">
        <f t="shared" si="6"/>
        <v>30873.600000000002</v>
      </c>
      <c r="BE17" s="16">
        <v>6200</v>
      </c>
      <c r="BF17" s="15">
        <v>6953.5</v>
      </c>
      <c r="BG17" s="15">
        <v>6312.9</v>
      </c>
      <c r="BH17" s="15">
        <v>1969.5</v>
      </c>
      <c r="BI17" s="15">
        <f>5434.3+2394.4</f>
        <v>7828.7000000000007</v>
      </c>
      <c r="BJ17" s="15">
        <v>1609</v>
      </c>
      <c r="BV17" s="10" t="s">
        <v>194</v>
      </c>
      <c r="BW17" s="8">
        <f>BX17/BX20*100</f>
        <v>1.2164741176248799</v>
      </c>
      <c r="BX17" s="10">
        <f t="shared" si="8"/>
        <v>396.2</v>
      </c>
      <c r="BY17" s="10"/>
      <c r="BZ17" s="10"/>
      <c r="CA17" s="10"/>
      <c r="CB17" s="10"/>
      <c r="CC17" s="10">
        <v>396.2</v>
      </c>
      <c r="CD17" s="8"/>
      <c r="CE17" s="8"/>
      <c r="CF17" s="10" t="s">
        <v>194</v>
      </c>
      <c r="CG17" s="8">
        <f>CH17/CH20*100</f>
        <v>0.91194607330869726</v>
      </c>
      <c r="CH17" s="10">
        <f t="shared" si="9"/>
        <v>325.5</v>
      </c>
      <c r="CI17" s="10"/>
      <c r="CJ17" s="10"/>
      <c r="CK17" s="10"/>
      <c r="CL17" s="10"/>
      <c r="CM17" s="10">
        <v>325.5</v>
      </c>
      <c r="CN17" s="8"/>
      <c r="CO17" s="17"/>
      <c r="CP17" s="10" t="s">
        <v>194</v>
      </c>
      <c r="CQ17" s="8">
        <f>CR17/CR20*100</f>
        <v>0.74468830743842362</v>
      </c>
      <c r="CR17" s="10">
        <f t="shared" si="10"/>
        <v>272.10000000000002</v>
      </c>
      <c r="CS17" s="10"/>
      <c r="CT17" s="10"/>
      <c r="CU17" s="10"/>
      <c r="CV17" s="10"/>
      <c r="CW17" s="10">
        <v>272.10000000000002</v>
      </c>
      <c r="CX17" s="8"/>
    </row>
    <row r="18" spans="1:107" s="5" customFormat="1">
      <c r="A18" s="5" t="s">
        <v>195</v>
      </c>
      <c r="B18" s="5">
        <f>C18/C25*100</f>
        <v>0.66832964653833493</v>
      </c>
      <c r="C18" s="5">
        <f t="shared" si="0"/>
        <v>42.6</v>
      </c>
      <c r="F18" s="5">
        <v>42.6</v>
      </c>
      <c r="I18" s="5" t="s">
        <v>195</v>
      </c>
      <c r="J18" s="5">
        <f>K18/K27*100</f>
        <v>0.68180228899093254</v>
      </c>
      <c r="K18" s="5">
        <f t="shared" si="1"/>
        <v>58.5</v>
      </c>
      <c r="N18" s="5">
        <v>58.5</v>
      </c>
      <c r="Q18" s="5" t="s">
        <v>196</v>
      </c>
      <c r="R18" s="5">
        <f>S18/S26*100</f>
        <v>1.0123806380872287</v>
      </c>
      <c r="S18" s="5">
        <f t="shared" si="11"/>
        <v>95.1</v>
      </c>
      <c r="T18" s="5">
        <v>95.1</v>
      </c>
      <c r="Y18" s="5" t="s">
        <v>189</v>
      </c>
      <c r="Z18" s="5">
        <f>AA18/AA21*100</f>
        <v>0.61163616864401094</v>
      </c>
      <c r="AA18" s="5">
        <f t="shared" si="3"/>
        <v>73</v>
      </c>
      <c r="AD18" s="5">
        <v>73</v>
      </c>
      <c r="AH18" s="5" t="s">
        <v>197</v>
      </c>
      <c r="AI18" s="5">
        <f>AJ18/AJ21*100</f>
        <v>0.56968040535600795</v>
      </c>
      <c r="AJ18" s="5">
        <f t="shared" si="4"/>
        <v>101.3</v>
      </c>
      <c r="AK18" s="5">
        <v>101.3</v>
      </c>
      <c r="AR18" s="5" t="s">
        <v>198</v>
      </c>
      <c r="AS18" s="5">
        <f>AT18/AT21*100</f>
        <v>0.54053360039031406</v>
      </c>
      <c r="AT18" s="5">
        <f t="shared" si="5"/>
        <v>126.3</v>
      </c>
      <c r="AX18" s="5">
        <v>126.3</v>
      </c>
      <c r="BB18" s="8"/>
      <c r="BC18" s="8"/>
      <c r="BD18" s="8"/>
      <c r="BE18" s="9"/>
      <c r="BF18" s="9"/>
      <c r="BG18" s="9"/>
      <c r="BH18" s="8"/>
      <c r="BI18" s="9"/>
      <c r="BJ18" s="17"/>
      <c r="BR18" s="17"/>
      <c r="BV18" s="10" t="s">
        <v>199</v>
      </c>
      <c r="BW18" s="8">
        <f>BX18/BX20*100</f>
        <v>0.49923950410349688</v>
      </c>
      <c r="BX18" s="10">
        <f t="shared" si="8"/>
        <v>162.6</v>
      </c>
      <c r="BY18" s="8"/>
      <c r="BZ18" s="8"/>
      <c r="CA18" s="8"/>
      <c r="CB18" s="8"/>
      <c r="CC18" s="8"/>
      <c r="CD18" s="8">
        <v>162.6</v>
      </c>
      <c r="CE18" s="8"/>
      <c r="CF18" s="10" t="s">
        <v>199</v>
      </c>
      <c r="CG18" s="8">
        <f>CH18/CH20*100</f>
        <v>0.64354535495854914</v>
      </c>
      <c r="CH18" s="10">
        <f t="shared" si="9"/>
        <v>229.7</v>
      </c>
      <c r="CI18" s="8"/>
      <c r="CJ18" s="8"/>
      <c r="CK18" s="8"/>
      <c r="CL18" s="8"/>
      <c r="CM18" s="8"/>
      <c r="CN18" s="8">
        <v>229.7</v>
      </c>
      <c r="CO18" s="17"/>
      <c r="CP18" s="10" t="s">
        <v>199</v>
      </c>
      <c r="CQ18" s="8">
        <f>CR18/CR20*100</f>
        <v>0.97239160467795616</v>
      </c>
      <c r="CR18" s="10">
        <f t="shared" si="10"/>
        <v>355.3</v>
      </c>
      <c r="CS18" s="8"/>
      <c r="CT18" s="8"/>
      <c r="CU18" s="8"/>
      <c r="CV18" s="8"/>
      <c r="CW18" s="8"/>
      <c r="CX18" s="8">
        <v>355.3</v>
      </c>
    </row>
    <row r="19" spans="1:107" s="5" customFormat="1">
      <c r="A19" s="5" t="s">
        <v>200</v>
      </c>
      <c r="B19" s="5">
        <f>C19/C25*100</f>
        <v>0.62910842314993498</v>
      </c>
      <c r="C19" s="5">
        <f t="shared" si="0"/>
        <v>40.1</v>
      </c>
      <c r="E19" s="5">
        <v>35</v>
      </c>
      <c r="G19" s="5">
        <v>5.0999999999999996</v>
      </c>
      <c r="I19" s="5" t="s">
        <v>200</v>
      </c>
      <c r="J19" s="5">
        <f>K19/K27*100</f>
        <v>0.77737115684949065</v>
      </c>
      <c r="K19" s="5">
        <f t="shared" si="1"/>
        <v>66.7</v>
      </c>
      <c r="M19" s="5">
        <v>62.5</v>
      </c>
      <c r="O19" s="5">
        <v>4.2</v>
      </c>
      <c r="Q19" s="5" t="s">
        <v>167</v>
      </c>
      <c r="R19" s="5">
        <f>S19/S26*100</f>
        <v>0.94637895610888145</v>
      </c>
      <c r="S19" s="5">
        <f t="shared" si="11"/>
        <v>88.9</v>
      </c>
      <c r="T19" s="5">
        <v>88.9</v>
      </c>
      <c r="Y19" s="5" t="s">
        <v>184</v>
      </c>
      <c r="Z19" s="5">
        <f>AA19/AA21*100</f>
        <v>0.56052684496279914</v>
      </c>
      <c r="AA19" s="5">
        <f t="shared" si="3"/>
        <v>66.900000000000006</v>
      </c>
      <c r="AB19" s="5">
        <v>19.8</v>
      </c>
      <c r="AC19" s="5">
        <v>47.1</v>
      </c>
      <c r="AH19" s="5" t="s">
        <v>201</v>
      </c>
      <c r="AI19" s="5">
        <f>AJ19/AJ21*100</f>
        <v>0.55505879574173733</v>
      </c>
      <c r="AJ19" s="5">
        <f t="shared" si="4"/>
        <v>98.7</v>
      </c>
      <c r="AM19" s="5">
        <v>98.7</v>
      </c>
      <c r="AR19" s="5" t="s">
        <v>201</v>
      </c>
      <c r="AS19" s="5">
        <f>AT19/AT21*100</f>
        <v>0.47376935521146296</v>
      </c>
      <c r="AT19" s="5">
        <f t="shared" si="5"/>
        <v>110.7</v>
      </c>
      <c r="AX19" s="5">
        <v>110.7</v>
      </c>
      <c r="BB19" s="8"/>
      <c r="BC19" s="8"/>
      <c r="BD19" s="8"/>
      <c r="BE19" s="8"/>
      <c r="BF19" s="8"/>
      <c r="BG19" s="8"/>
      <c r="BH19" s="8"/>
      <c r="BI19" s="8"/>
      <c r="BJ19" s="8"/>
      <c r="BV19" s="10" t="s">
        <v>202</v>
      </c>
      <c r="BW19" s="8">
        <f>BX19/BX20*100</f>
        <v>0.35309067018390006</v>
      </c>
      <c r="BX19" s="10">
        <f t="shared" si="8"/>
        <v>115</v>
      </c>
      <c r="BY19" s="8"/>
      <c r="BZ19" s="8"/>
      <c r="CA19" s="8"/>
      <c r="CB19" s="8"/>
      <c r="CC19" s="8"/>
      <c r="CD19" s="8">
        <v>115</v>
      </c>
      <c r="CE19" s="8"/>
      <c r="CF19" s="10" t="s">
        <v>202</v>
      </c>
      <c r="CG19" s="8">
        <f>CH19/CH20*100</f>
        <v>0.37654547543068789</v>
      </c>
      <c r="CH19" s="10">
        <f t="shared" si="9"/>
        <v>134.4</v>
      </c>
      <c r="CI19" s="8"/>
      <c r="CJ19" s="8"/>
      <c r="CK19" s="8"/>
      <c r="CL19" s="8"/>
      <c r="CM19" s="8"/>
      <c r="CN19" s="8">
        <v>134.4</v>
      </c>
      <c r="CO19" s="17"/>
      <c r="CP19" s="10" t="s">
        <v>202</v>
      </c>
      <c r="CQ19" s="8">
        <f>CR19/CR20*100</f>
        <v>0.59115279091032513</v>
      </c>
      <c r="CR19" s="10">
        <f t="shared" si="10"/>
        <v>216</v>
      </c>
      <c r="CS19" s="8"/>
      <c r="CT19" s="8"/>
      <c r="CU19" s="8"/>
      <c r="CV19" s="8"/>
      <c r="CW19" s="8"/>
      <c r="CX19" s="8">
        <v>216</v>
      </c>
    </row>
    <row r="20" spans="1:107" s="5" customFormat="1">
      <c r="A20" s="5" t="s">
        <v>203</v>
      </c>
      <c r="B20" s="5">
        <f>C20/C25*100</f>
        <v>0.67303619334494291</v>
      </c>
      <c r="C20" s="5">
        <f t="shared" si="0"/>
        <v>42.9</v>
      </c>
      <c r="E20" s="5">
        <v>30.7</v>
      </c>
      <c r="G20" s="5">
        <v>12.2</v>
      </c>
      <c r="I20" s="5" t="s">
        <v>204</v>
      </c>
      <c r="J20" s="5">
        <f>K20/K27*100</f>
        <v>0.67131302300645668</v>
      </c>
      <c r="K20" s="5">
        <f t="shared" si="1"/>
        <v>57.6</v>
      </c>
      <c r="M20" s="5">
        <v>57.6</v>
      </c>
      <c r="Q20" s="5" t="s">
        <v>205</v>
      </c>
      <c r="R20" s="5">
        <f>S20/S26*100</f>
        <v>0.89421633648083287</v>
      </c>
      <c r="S20" s="5">
        <f t="shared" si="11"/>
        <v>84</v>
      </c>
      <c r="U20" s="5">
        <v>84</v>
      </c>
      <c r="Y20" s="11" t="s">
        <v>206</v>
      </c>
      <c r="Z20" s="5">
        <f>AA20/AA21*100</f>
        <v>0</v>
      </c>
      <c r="AA20" s="5">
        <f t="shared" si="3"/>
        <v>0</v>
      </c>
      <c r="AB20" s="11"/>
      <c r="AC20" s="11"/>
      <c r="AD20" s="11"/>
      <c r="AE20" s="11"/>
      <c r="AF20" s="11"/>
      <c r="AH20" s="5" t="s">
        <v>207</v>
      </c>
      <c r="AI20" s="5">
        <f>AJ20/AJ21*100</f>
        <v>4.0417503191447484</v>
      </c>
      <c r="AJ20" s="5">
        <f t="shared" si="4"/>
        <v>718.7</v>
      </c>
      <c r="AL20" s="5">
        <v>659</v>
      </c>
      <c r="AN20" s="5">
        <v>59.7</v>
      </c>
      <c r="AR20" s="11" t="s">
        <v>95</v>
      </c>
      <c r="AS20" s="5">
        <f>AT20/AT21*100</f>
        <v>0.33125337031045377</v>
      </c>
      <c r="AT20" s="5">
        <f t="shared" si="5"/>
        <v>77.400000000000006</v>
      </c>
      <c r="AU20" s="11"/>
      <c r="AV20" s="11"/>
      <c r="AW20" s="11"/>
      <c r="AX20" s="11">
        <v>77.400000000000006</v>
      </c>
      <c r="AY20" s="11"/>
      <c r="AZ20" s="11"/>
      <c r="BB20" s="8"/>
      <c r="BC20" s="8"/>
      <c r="BD20" s="8"/>
      <c r="BE20" s="8"/>
      <c r="BF20" s="8"/>
      <c r="BG20" s="8"/>
      <c r="BH20" s="8"/>
      <c r="BI20" s="8"/>
      <c r="BJ20" s="8"/>
      <c r="BV20" s="15" t="s">
        <v>186</v>
      </c>
      <c r="BW20" s="15"/>
      <c r="BX20" s="18">
        <f t="shared" si="8"/>
        <v>32569.538</v>
      </c>
      <c r="BY20" s="19">
        <v>7200</v>
      </c>
      <c r="BZ20" s="19">
        <v>8588.2999999999993</v>
      </c>
      <c r="CA20" s="16">
        <v>7249.826</v>
      </c>
      <c r="CB20" s="15">
        <v>2025.6120000000001</v>
      </c>
      <c r="CC20" s="15">
        <v>4831.8</v>
      </c>
      <c r="CD20" s="19">
        <v>2674</v>
      </c>
      <c r="CE20" s="8"/>
      <c r="CF20" s="15" t="s">
        <v>186</v>
      </c>
      <c r="CG20" s="15"/>
      <c r="CH20" s="18">
        <f t="shared" si="9"/>
        <v>35692.9</v>
      </c>
      <c r="CI20" s="15">
        <v>7625</v>
      </c>
      <c r="CJ20" s="20">
        <v>8757</v>
      </c>
      <c r="CK20" s="15">
        <v>7387.5</v>
      </c>
      <c r="CL20" s="15">
        <v>2017.9</v>
      </c>
      <c r="CM20" s="15">
        <f>4720.5+2100</f>
        <v>6820.5</v>
      </c>
      <c r="CN20" s="15">
        <v>3085</v>
      </c>
      <c r="CO20" s="21"/>
      <c r="CP20" s="15" t="s">
        <v>186</v>
      </c>
      <c r="CQ20" s="15"/>
      <c r="CR20" s="18">
        <f t="shared" si="10"/>
        <v>36538.777000000002</v>
      </c>
      <c r="CS20" s="22">
        <v>8100</v>
      </c>
      <c r="CT20" s="22">
        <v>8989.6</v>
      </c>
      <c r="CU20" s="23">
        <v>7281.8940000000002</v>
      </c>
      <c r="CV20" s="15">
        <v>1998.7830000000001</v>
      </c>
      <c r="CW20" s="15">
        <f>2112+4315.5</f>
        <v>6427.5</v>
      </c>
      <c r="CX20" s="15">
        <v>3741</v>
      </c>
    </row>
    <row r="21" spans="1:107" s="5" customFormat="1">
      <c r="A21" s="5" t="s">
        <v>96</v>
      </c>
      <c r="B21" s="5">
        <f>C21/C25*100</f>
        <v>0.25101582968575958</v>
      </c>
      <c r="C21" s="5">
        <f t="shared" si="0"/>
        <v>16</v>
      </c>
      <c r="F21" s="5">
        <v>16</v>
      </c>
      <c r="I21" s="5" t="s">
        <v>97</v>
      </c>
      <c r="J21" s="5">
        <f>K21/K27*100</f>
        <v>0.5990536351134006</v>
      </c>
      <c r="K21" s="11">
        <f t="shared" si="1"/>
        <v>51.4</v>
      </c>
      <c r="L21" s="5">
        <v>51.4</v>
      </c>
      <c r="Q21" s="11" t="s">
        <v>98</v>
      </c>
      <c r="R21" s="5">
        <f>S21/S26*100</f>
        <v>0.56740155636224265</v>
      </c>
      <c r="S21" s="11">
        <f t="shared" si="11"/>
        <v>53.3</v>
      </c>
      <c r="T21" s="11"/>
      <c r="U21" s="11"/>
      <c r="V21" s="11">
        <v>53.3</v>
      </c>
      <c r="W21" s="11"/>
      <c r="Y21" s="14" t="s">
        <v>99</v>
      </c>
      <c r="Z21" s="24"/>
      <c r="AA21" s="14">
        <f t="shared" si="3"/>
        <v>11935.2</v>
      </c>
      <c r="AB21" s="14">
        <v>3496.1</v>
      </c>
      <c r="AC21" s="14">
        <v>2677.4</v>
      </c>
      <c r="AD21" s="14">
        <f>3310+1011.2</f>
        <v>4321.2</v>
      </c>
      <c r="AE21" s="14">
        <v>239</v>
      </c>
      <c r="AF21" s="14">
        <v>1201.5</v>
      </c>
      <c r="AH21" s="14" t="s">
        <v>99</v>
      </c>
      <c r="AI21" s="14"/>
      <c r="AJ21" s="14">
        <f>SUM(AK21:AP21)</f>
        <v>17781.900000000001</v>
      </c>
      <c r="AK21" s="14">
        <v>4353.8999999999996</v>
      </c>
      <c r="AL21" s="14">
        <v>4218.5</v>
      </c>
      <c r="AM21" s="14">
        <f>4668.6+1300</f>
        <v>5968.6</v>
      </c>
      <c r="AN21" s="14">
        <v>1800</v>
      </c>
      <c r="AO21" s="14">
        <v>1330.9</v>
      </c>
      <c r="AP21" s="21">
        <v>110</v>
      </c>
      <c r="AQ21" s="17"/>
      <c r="AR21" s="25" t="s">
        <v>99</v>
      </c>
      <c r="AS21" s="14"/>
      <c r="AT21" s="14">
        <f>SUM(AU21:AZ21)</f>
        <v>23365.8</v>
      </c>
      <c r="AU21" s="14">
        <v>4200</v>
      </c>
      <c r="AV21" s="14">
        <v>5039.3999999999996</v>
      </c>
      <c r="AW21" s="14">
        <v>5297.5</v>
      </c>
      <c r="AX21" s="14">
        <f>1847+5033.9</f>
        <v>6880.9</v>
      </c>
      <c r="AY21" s="14">
        <v>1583</v>
      </c>
      <c r="AZ21" s="14">
        <v>365</v>
      </c>
      <c r="BB21" s="8"/>
      <c r="BC21" s="8"/>
      <c r="BD21" s="8"/>
      <c r="BE21" s="8"/>
      <c r="BF21" s="8"/>
      <c r="BG21" s="8"/>
      <c r="BH21" s="8"/>
      <c r="BI21" s="8"/>
      <c r="BJ21" s="26"/>
      <c r="CE21" s="8"/>
      <c r="CW21" s="8"/>
      <c r="CX21" s="8"/>
    </row>
    <row r="22" spans="1:107" s="5" customFormat="1">
      <c r="A22" s="5" t="s">
        <v>100</v>
      </c>
      <c r="B22" s="5">
        <f>C22/C25*100</f>
        <v>0.28082395946094352</v>
      </c>
      <c r="C22" s="5">
        <f t="shared" si="0"/>
        <v>17.899999999999999</v>
      </c>
      <c r="F22" s="5">
        <v>17.899999999999999</v>
      </c>
      <c r="I22" s="5" t="s">
        <v>101</v>
      </c>
      <c r="J22" s="5">
        <f>K22/K27*100</f>
        <v>0.2995268175567003</v>
      </c>
      <c r="K22" s="5">
        <f t="shared" si="1"/>
        <v>25.7</v>
      </c>
      <c r="M22" s="5">
        <v>25.7</v>
      </c>
      <c r="Q22" s="5" t="s">
        <v>102</v>
      </c>
      <c r="R22" s="5">
        <f>S22/S26*100</f>
        <v>0.62275780576343709</v>
      </c>
      <c r="S22" s="5">
        <f t="shared" si="11"/>
        <v>58.5</v>
      </c>
      <c r="V22" s="5">
        <v>58.5</v>
      </c>
      <c r="X22" s="11"/>
      <c r="AR22" s="25"/>
      <c r="AS22" s="14"/>
      <c r="AT22" s="14"/>
      <c r="AU22" s="14"/>
      <c r="AV22" s="14"/>
      <c r="AW22" s="14"/>
      <c r="AX22" s="14"/>
      <c r="AY22" s="14"/>
      <c r="AZ22" s="14"/>
      <c r="BB22" s="27"/>
      <c r="BC22" s="6"/>
      <c r="BD22" s="8"/>
      <c r="BE22" s="10"/>
      <c r="BF22" s="10"/>
      <c r="BG22" s="10"/>
      <c r="BH22" s="10"/>
      <c r="BI22" s="10"/>
      <c r="BJ22" s="10"/>
      <c r="CE22" s="28"/>
      <c r="CJ22" s="20"/>
      <c r="CK22" s="22"/>
    </row>
    <row r="23" spans="1:107" s="5" customFormat="1">
      <c r="A23" s="5" t="s">
        <v>103</v>
      </c>
      <c r="B23" s="5">
        <f>C23/C25*100</f>
        <v>0.37338604665756736</v>
      </c>
      <c r="C23" s="5">
        <f t="shared" si="0"/>
        <v>23.8</v>
      </c>
      <c r="D23" s="5">
        <v>23.8</v>
      </c>
      <c r="I23" s="5" t="s">
        <v>184</v>
      </c>
      <c r="J23" s="5">
        <f>K23/K27*100</f>
        <v>0.77853663084776581</v>
      </c>
      <c r="K23" s="5">
        <f t="shared" si="1"/>
        <v>66.800000000000011</v>
      </c>
      <c r="L23" s="5">
        <v>17.600000000000001</v>
      </c>
      <c r="M23" s="5">
        <v>31.8</v>
      </c>
      <c r="O23" s="5">
        <v>17.399999999999999</v>
      </c>
      <c r="Q23" s="5" t="s">
        <v>103</v>
      </c>
      <c r="R23" s="5">
        <f>S23/S26*100</f>
        <v>0.6525650169794649</v>
      </c>
      <c r="S23" s="5">
        <f t="shared" si="11"/>
        <v>61.3</v>
      </c>
      <c r="T23" s="5">
        <v>61.3</v>
      </c>
      <c r="AR23" s="25"/>
      <c r="AS23" s="14"/>
      <c r="AT23" s="14"/>
      <c r="AU23" s="14"/>
      <c r="AV23" s="14"/>
      <c r="AW23" s="14"/>
      <c r="AX23" s="14"/>
      <c r="AY23" s="14"/>
      <c r="AZ23" s="14"/>
      <c r="BB23" s="27"/>
      <c r="BC23" s="6"/>
      <c r="BD23" s="8"/>
      <c r="BE23" s="10"/>
      <c r="BF23" s="10"/>
      <c r="BG23" s="10"/>
      <c r="BH23" s="8"/>
      <c r="BI23" s="8"/>
      <c r="BJ23" s="10"/>
      <c r="BM23" s="29"/>
      <c r="BU23" s="30"/>
      <c r="BV23" s="30"/>
      <c r="BW23" s="30"/>
      <c r="BX23" s="30"/>
      <c r="BY23" s="30"/>
      <c r="BZ23" s="8"/>
      <c r="CA23" s="8"/>
      <c r="CB23" s="8"/>
      <c r="CC23" s="8"/>
      <c r="CD23" s="8"/>
      <c r="CE23" s="31"/>
      <c r="CH23" s="8"/>
      <c r="CI23" s="8"/>
      <c r="CJ23" s="8"/>
      <c r="CK23" s="8"/>
      <c r="CL23" s="8"/>
      <c r="CM23" s="8"/>
      <c r="CN23" s="8"/>
      <c r="CP23" s="8"/>
      <c r="CQ23" s="32"/>
      <c r="CR23" s="8"/>
      <c r="CS23" s="8"/>
      <c r="CT23" s="8"/>
      <c r="CU23" s="8"/>
      <c r="CV23" s="8"/>
    </row>
    <row r="24" spans="1:107" s="5" customFormat="1">
      <c r="A24" s="5" t="s">
        <v>190</v>
      </c>
      <c r="B24" s="5">
        <f>C24/C25*100</f>
        <v>7.5304748905727872E-2</v>
      </c>
      <c r="C24" s="5">
        <f t="shared" si="0"/>
        <v>4.8</v>
      </c>
      <c r="E24" s="5">
        <v>4.8</v>
      </c>
      <c r="I24" s="5" t="s">
        <v>196</v>
      </c>
      <c r="J24" s="5">
        <f>K24/K27*100</f>
        <v>0.36246241346355562</v>
      </c>
      <c r="K24" s="5">
        <f t="shared" si="1"/>
        <v>31.1</v>
      </c>
      <c r="L24" s="5">
        <v>31.1</v>
      </c>
      <c r="Q24" s="5" t="s">
        <v>184</v>
      </c>
      <c r="R24" s="5">
        <f>S24/S26*100</f>
        <v>0.74305119388526342</v>
      </c>
      <c r="S24" s="5">
        <f t="shared" si="11"/>
        <v>69.8</v>
      </c>
      <c r="T24" s="5">
        <v>15.1</v>
      </c>
      <c r="U24" s="5">
        <v>28.7</v>
      </c>
      <c r="W24" s="5">
        <v>26</v>
      </c>
      <c r="AH24" s="11"/>
      <c r="AI24" s="11"/>
      <c r="AJ24" s="11"/>
      <c r="AK24" s="11"/>
      <c r="AL24" s="11"/>
      <c r="AM24" s="11"/>
      <c r="AN24" s="11"/>
      <c r="AO24" s="11"/>
      <c r="AR24" s="25"/>
      <c r="AS24" s="30"/>
      <c r="AT24" s="30"/>
      <c r="AU24" s="30"/>
      <c r="AV24" s="14"/>
      <c r="AW24" s="14"/>
      <c r="AX24" s="14"/>
      <c r="AY24" s="14"/>
      <c r="AZ24" s="14"/>
      <c r="BB24" s="27"/>
      <c r="BC24" s="6"/>
      <c r="BD24" s="8"/>
      <c r="BE24" s="10"/>
      <c r="BF24" s="10"/>
      <c r="BG24" s="10"/>
      <c r="BH24" s="8"/>
      <c r="BI24" s="8"/>
      <c r="BJ24" s="10"/>
      <c r="BN24" s="29"/>
      <c r="BZ24" s="8"/>
      <c r="CA24" s="8"/>
      <c r="CB24" s="8"/>
      <c r="CC24" s="8"/>
      <c r="CD24" s="33">
        <v>2674</v>
      </c>
      <c r="CE24" s="17">
        <v>3085</v>
      </c>
      <c r="CF24" s="15">
        <v>3525</v>
      </c>
      <c r="CG24" s="28"/>
      <c r="CH24" s="28"/>
      <c r="CI24" s="28"/>
      <c r="CJ24" s="20"/>
      <c r="CK24" s="22"/>
      <c r="CL24" s="28"/>
      <c r="CR24" s="8"/>
      <c r="CS24" s="8"/>
      <c r="CT24" s="8"/>
      <c r="CU24" s="8"/>
      <c r="CV24" s="8"/>
    </row>
    <row r="25" spans="1:107" s="5" customFormat="1">
      <c r="A25" s="24" t="s">
        <v>186</v>
      </c>
      <c r="B25" s="24"/>
      <c r="C25" s="14">
        <f t="shared" si="0"/>
        <v>6374.0999999999995</v>
      </c>
      <c r="D25" s="24">
        <v>1841.7</v>
      </c>
      <c r="E25" s="24">
        <v>760.5</v>
      </c>
      <c r="F25" s="24">
        <f>2190+771</f>
        <v>2961</v>
      </c>
      <c r="G25" s="24">
        <v>810.9</v>
      </c>
      <c r="I25" s="5" t="s">
        <v>104</v>
      </c>
      <c r="J25" s="5">
        <f>K25/K27*100</f>
        <v>0.25523880562224649</v>
      </c>
      <c r="K25" s="5">
        <f t="shared" si="1"/>
        <v>21.9</v>
      </c>
      <c r="N25" s="5">
        <v>21.9</v>
      </c>
      <c r="Q25" s="5" t="s">
        <v>104</v>
      </c>
      <c r="R25" s="5">
        <f>S25/S26*100</f>
        <v>0.21290865154305541</v>
      </c>
      <c r="S25" s="5">
        <f t="shared" si="11"/>
        <v>20</v>
      </c>
      <c r="V25" s="5">
        <v>20</v>
      </c>
      <c r="AH25" s="11"/>
      <c r="AI25" s="11"/>
      <c r="AJ25" s="11"/>
      <c r="AK25" s="11"/>
      <c r="AL25" s="11"/>
      <c r="AM25" s="11"/>
      <c r="AN25" s="11"/>
      <c r="AO25" s="11"/>
      <c r="AS25" s="34"/>
      <c r="AT25" s="34"/>
      <c r="AU25" s="34"/>
      <c r="BB25" s="27"/>
      <c r="BC25" s="6"/>
      <c r="BD25" s="8"/>
      <c r="BE25" s="10"/>
      <c r="BF25" s="10"/>
      <c r="BG25" s="10"/>
      <c r="BH25" s="8"/>
      <c r="BI25" s="8"/>
      <c r="BJ25" s="10"/>
      <c r="BL25" s="11"/>
      <c r="BN25" s="29"/>
      <c r="BW25" s="8"/>
      <c r="BX25" s="8"/>
      <c r="BY25" s="8"/>
      <c r="BZ25" s="8"/>
      <c r="CA25" s="8"/>
      <c r="CB25" s="8"/>
      <c r="CD25" s="28"/>
      <c r="CF25" s="28"/>
      <c r="CG25" s="28"/>
      <c r="CH25" s="28"/>
      <c r="CI25" s="28"/>
      <c r="CJ25" s="28"/>
      <c r="CK25" s="28"/>
      <c r="CL25" s="28"/>
      <c r="CP25" s="30"/>
      <c r="CQ25" s="30"/>
      <c r="CR25" s="30"/>
      <c r="CS25" s="30"/>
      <c r="CT25" s="30"/>
      <c r="CU25" s="30"/>
      <c r="CV25" s="30"/>
    </row>
    <row r="26" spans="1:107" s="5" customFormat="1">
      <c r="H26" s="11"/>
      <c r="I26" s="5" t="s">
        <v>105</v>
      </c>
      <c r="J26" s="5">
        <f>K26/K27*100</f>
        <v>0.2342602736532948</v>
      </c>
      <c r="K26" s="5">
        <f t="shared" si="1"/>
        <v>20.100000000000001</v>
      </c>
      <c r="L26" s="5">
        <v>20.100000000000001</v>
      </c>
      <c r="Q26" s="14" t="s">
        <v>186</v>
      </c>
      <c r="R26" s="24"/>
      <c r="S26" s="14">
        <f t="shared" si="11"/>
        <v>9393.7000000000007</v>
      </c>
      <c r="T26" s="14">
        <v>2920.3</v>
      </c>
      <c r="U26" s="14">
        <v>1651.4</v>
      </c>
      <c r="V26" s="14">
        <f>2790+993.9</f>
        <v>3783.9</v>
      </c>
      <c r="W26" s="14">
        <v>1038.0999999999999</v>
      </c>
      <c r="AH26" s="11"/>
      <c r="AI26" s="11"/>
      <c r="AJ26" s="11"/>
      <c r="AK26" s="11"/>
      <c r="AL26" s="11"/>
      <c r="AM26" s="11"/>
      <c r="AN26" s="11"/>
      <c r="AO26" s="11"/>
      <c r="AR26" s="11"/>
      <c r="AS26" s="11"/>
      <c r="AT26" s="11"/>
      <c r="AU26" s="17"/>
      <c r="AV26" s="11"/>
      <c r="AW26" s="11"/>
      <c r="AX26" s="11"/>
      <c r="AY26" s="11"/>
      <c r="AZ26" s="11"/>
      <c r="BB26" s="27"/>
      <c r="BC26" s="6"/>
      <c r="BD26" s="10"/>
      <c r="BE26" s="10"/>
      <c r="BF26" s="8"/>
      <c r="BG26" s="10"/>
      <c r="BH26" s="8"/>
      <c r="BI26" s="8"/>
      <c r="BL26" s="11"/>
    </row>
    <row r="27" spans="1:107" s="11" customFormat="1">
      <c r="A27" s="5"/>
      <c r="B27" s="5"/>
      <c r="C27" s="5"/>
      <c r="D27" s="5"/>
      <c r="E27" s="5"/>
      <c r="F27" s="5"/>
      <c r="G27" s="5"/>
      <c r="H27" s="5"/>
      <c r="I27" s="14" t="s">
        <v>186</v>
      </c>
      <c r="J27" s="24"/>
      <c r="K27" s="14">
        <f t="shared" si="1"/>
        <v>8580.2000000000007</v>
      </c>
      <c r="L27" s="14">
        <v>2269.8000000000002</v>
      </c>
      <c r="M27" s="14">
        <v>1610.8</v>
      </c>
      <c r="N27" s="14">
        <f>2925+775</f>
        <v>3700</v>
      </c>
      <c r="O27" s="14">
        <v>999.6</v>
      </c>
      <c r="P27" s="5"/>
      <c r="Q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27"/>
      <c r="BC27" s="27"/>
      <c r="BD27" s="10"/>
      <c r="BE27" s="10"/>
      <c r="BF27" s="8"/>
      <c r="BG27" s="10"/>
      <c r="BH27" s="10"/>
      <c r="BI27" s="8"/>
      <c r="BL27" s="5"/>
      <c r="BM27" s="5"/>
      <c r="BN27" s="5"/>
      <c r="BO27" s="5"/>
      <c r="BP27" s="5"/>
      <c r="BQ27" s="5"/>
      <c r="BR27" s="5"/>
      <c r="BS27" s="5"/>
      <c r="BT27" s="5"/>
      <c r="CP27" s="5"/>
      <c r="CQ27" s="5"/>
      <c r="CR27" s="5"/>
      <c r="CS27" s="5"/>
      <c r="CT27" s="5"/>
      <c r="CU27" s="5"/>
      <c r="CV27" s="5"/>
    </row>
    <row r="28" spans="1:107" s="11" customFormat="1">
      <c r="A28" s="5"/>
      <c r="B28" s="5"/>
      <c r="C28" s="5"/>
      <c r="D28" s="5"/>
      <c r="E28" s="5"/>
      <c r="F28" s="5"/>
      <c r="G28" s="5"/>
      <c r="H28" s="5"/>
      <c r="I28" s="5"/>
      <c r="K28" s="5"/>
      <c r="L28" s="5"/>
      <c r="M28" s="5"/>
      <c r="N28" s="5"/>
      <c r="O28" s="5"/>
      <c r="P28" s="5"/>
      <c r="Q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27"/>
      <c r="BC28" s="27"/>
      <c r="BD28" s="10"/>
      <c r="BE28" s="10"/>
      <c r="BF28" s="8"/>
      <c r="BG28" s="10"/>
      <c r="BH28" s="10"/>
      <c r="BI28" s="8"/>
      <c r="BL28" s="5"/>
      <c r="BM28" s="5"/>
      <c r="BN28" s="5"/>
      <c r="BO28" s="5"/>
      <c r="BP28" s="5"/>
      <c r="BQ28" s="5"/>
      <c r="BR28" s="5"/>
      <c r="BS28" s="5"/>
      <c r="BT28" s="5"/>
      <c r="CP28" s="5"/>
      <c r="CQ28" s="5"/>
      <c r="CR28" s="5"/>
      <c r="CS28" s="5"/>
      <c r="CT28" s="5"/>
      <c r="CU28" s="5"/>
      <c r="CV28" s="5"/>
    </row>
    <row r="29" spans="1:107" s="11" customFormat="1">
      <c r="A29" s="5"/>
      <c r="B29" s="5"/>
      <c r="C29" s="5"/>
      <c r="D29" s="5"/>
      <c r="E29" s="5"/>
      <c r="F29" s="5"/>
      <c r="G29" s="5"/>
      <c r="H29" s="5"/>
      <c r="I29" s="5"/>
      <c r="K29" s="5"/>
      <c r="L29" s="5"/>
      <c r="M29" s="5"/>
      <c r="N29" s="5"/>
      <c r="O29" s="5"/>
      <c r="P29" s="5"/>
      <c r="Q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27"/>
      <c r="BC29" s="27"/>
      <c r="BD29" s="10"/>
      <c r="BE29" s="10"/>
      <c r="BF29" s="8"/>
      <c r="BG29" s="10"/>
      <c r="BH29" s="10"/>
      <c r="BI29" s="8"/>
      <c r="BL29" s="5"/>
      <c r="BM29" s="5"/>
      <c r="BN29" s="5"/>
      <c r="BO29" s="5"/>
      <c r="BP29" s="5"/>
      <c r="BQ29" s="5"/>
      <c r="BR29" s="5"/>
      <c r="BS29" s="5"/>
      <c r="BT29" s="5"/>
      <c r="CP29" s="5"/>
      <c r="CQ29" s="5"/>
      <c r="CR29" s="5"/>
      <c r="CS29" s="5"/>
      <c r="CT29" s="5"/>
      <c r="CU29" s="5"/>
      <c r="CV29" s="5"/>
    </row>
    <row r="30" spans="1:107" s="11" customFormat="1">
      <c r="A30" s="5"/>
      <c r="B30" s="5"/>
      <c r="C30" s="5"/>
      <c r="D30" s="5"/>
      <c r="E30" s="5"/>
      <c r="F30" s="5"/>
      <c r="G30" s="5"/>
      <c r="H30" s="5"/>
      <c r="I30" s="5"/>
      <c r="K30" s="5"/>
      <c r="L30" s="5"/>
      <c r="M30" s="5"/>
      <c r="N30" s="5"/>
      <c r="O30" s="5"/>
      <c r="P30" s="5"/>
      <c r="Q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27"/>
      <c r="BC30" s="27"/>
      <c r="BD30" s="10"/>
      <c r="BE30" s="10"/>
      <c r="BF30" s="8"/>
      <c r="BG30" s="10"/>
      <c r="BH30" s="10"/>
      <c r="BI30" s="8"/>
      <c r="BL30" s="5"/>
      <c r="BM30" s="5"/>
      <c r="BN30" s="5"/>
      <c r="BO30" s="5"/>
      <c r="BP30" s="5"/>
      <c r="BQ30" s="5"/>
      <c r="BR30" s="5"/>
      <c r="BS30" s="5"/>
      <c r="BT30" s="5"/>
      <c r="CP30" s="5"/>
      <c r="CQ30" s="5"/>
      <c r="CR30" s="5"/>
      <c r="CS30" s="5"/>
      <c r="CT30" s="5"/>
      <c r="CU30" s="5"/>
      <c r="CV30" s="5"/>
    </row>
    <row r="31" spans="1:107" s="35" customFormat="1">
      <c r="A31" s="35">
        <v>1984</v>
      </c>
      <c r="I31" s="35">
        <v>1988</v>
      </c>
      <c r="Q31" s="35">
        <v>1992</v>
      </c>
      <c r="Y31" s="35">
        <v>1996</v>
      </c>
      <c r="AG31" s="36"/>
      <c r="AH31" s="35">
        <v>2000</v>
      </c>
      <c r="AP31" s="36"/>
      <c r="AQ31" s="36"/>
      <c r="AR31" s="37">
        <v>2004</v>
      </c>
      <c r="BB31" s="37">
        <v>2008</v>
      </c>
      <c r="BE31" s="38"/>
      <c r="BF31" s="39"/>
      <c r="BG31" s="40"/>
      <c r="BH31" s="37"/>
      <c r="BI31" s="39"/>
      <c r="BJ31" s="40"/>
      <c r="BK31" s="36"/>
      <c r="BL31" s="41">
        <v>2010</v>
      </c>
      <c r="BM31" s="42"/>
      <c r="BN31" s="36"/>
      <c r="BO31" s="36"/>
      <c r="BP31" s="36"/>
      <c r="BQ31" s="36"/>
      <c r="BR31" s="36"/>
      <c r="BS31" s="36"/>
      <c r="BT31" s="36"/>
      <c r="BV31" s="37">
        <v>2011</v>
      </c>
      <c r="BW31" s="42"/>
      <c r="BX31" s="42"/>
      <c r="BZ31" s="36"/>
      <c r="CF31" s="37">
        <v>2012</v>
      </c>
      <c r="CI31" s="39"/>
      <c r="CP31" s="43">
        <v>2013</v>
      </c>
      <c r="CQ31" s="44"/>
      <c r="CR31" s="44"/>
    </row>
    <row r="32" spans="1:107" s="5" customFormat="1">
      <c r="A32" s="25" t="s">
        <v>106</v>
      </c>
      <c r="B32" s="45">
        <f>C25</f>
        <v>6374.0999999999995</v>
      </c>
      <c r="D32" s="27"/>
      <c r="E32" s="27"/>
      <c r="F32" s="27"/>
      <c r="G32" s="27"/>
      <c r="I32" s="25" t="s">
        <v>107</v>
      </c>
      <c r="J32" s="45">
        <f>K27</f>
        <v>8580.2000000000007</v>
      </c>
      <c r="L32" s="27"/>
      <c r="M32" s="27"/>
      <c r="N32" s="27"/>
      <c r="O32" s="27"/>
      <c r="Q32" s="25" t="s">
        <v>107</v>
      </c>
      <c r="R32" s="45">
        <f>S26</f>
        <v>9393.7000000000007</v>
      </c>
      <c r="T32" s="27"/>
      <c r="U32" s="27"/>
      <c r="V32" s="27"/>
      <c r="W32" s="27"/>
      <c r="Y32" s="25" t="s">
        <v>107</v>
      </c>
      <c r="Z32" s="45">
        <f>AA21</f>
        <v>11935.2</v>
      </c>
      <c r="AH32" s="25" t="s">
        <v>107</v>
      </c>
      <c r="AI32" s="45">
        <f>AJ21</f>
        <v>17781.900000000001</v>
      </c>
      <c r="AR32" s="25" t="s">
        <v>107</v>
      </c>
      <c r="AS32" s="45">
        <f>AT21</f>
        <v>23365.8</v>
      </c>
      <c r="AU32" s="27"/>
      <c r="AV32" s="27"/>
      <c r="AW32" s="27"/>
      <c r="AX32" s="27"/>
      <c r="AY32" s="27"/>
      <c r="AZ32" s="27"/>
      <c r="BB32" s="25" t="s">
        <v>107</v>
      </c>
      <c r="BC32" s="45">
        <f>BD17</f>
        <v>30873.600000000002</v>
      </c>
      <c r="BF32" s="8"/>
      <c r="BG32" s="10"/>
      <c r="BH32" s="10"/>
      <c r="BI32" s="8"/>
      <c r="BJ32" s="10"/>
      <c r="BK32" s="11"/>
      <c r="BL32" s="14" t="s">
        <v>107</v>
      </c>
      <c r="BM32" s="46">
        <f>BN15</f>
        <v>33139.300000000003</v>
      </c>
      <c r="BV32" s="14" t="s">
        <v>106</v>
      </c>
      <c r="BW32" s="8">
        <f>BX20</f>
        <v>32569.538</v>
      </c>
      <c r="BZ32" s="11"/>
      <c r="CF32" s="14" t="s">
        <v>107</v>
      </c>
      <c r="CG32" s="5">
        <f>CH20</f>
        <v>35692.9</v>
      </c>
      <c r="CH32" s="8"/>
      <c r="CI32" s="8"/>
      <c r="CP32" s="22" t="s">
        <v>108</v>
      </c>
      <c r="CQ32" s="34">
        <f>CR20</f>
        <v>36538.777000000002</v>
      </c>
      <c r="CR32" s="34"/>
      <c r="CU32" s="8"/>
      <c r="DC32" s="11"/>
    </row>
    <row r="33" spans="1:102" s="27" customFormat="1">
      <c r="A33" s="47" t="s">
        <v>109</v>
      </c>
      <c r="B33" s="6">
        <f>B2</f>
        <v>16.662744544327825</v>
      </c>
      <c r="D33" s="5"/>
      <c r="E33" s="5"/>
      <c r="F33" s="5"/>
      <c r="G33" s="5"/>
      <c r="I33" s="47" t="s">
        <v>109</v>
      </c>
      <c r="J33" s="6">
        <f>J2</f>
        <v>14.665159320295562</v>
      </c>
      <c r="L33" s="5"/>
      <c r="M33" s="5"/>
      <c r="N33" s="5"/>
      <c r="O33" s="5"/>
      <c r="Q33" s="47" t="s">
        <v>110</v>
      </c>
      <c r="R33" s="6">
        <f>R2</f>
        <v>13.928483983946688</v>
      </c>
      <c r="T33" s="5"/>
      <c r="U33" s="5"/>
      <c r="V33" s="5"/>
      <c r="W33" s="5"/>
      <c r="Y33" s="47" t="s">
        <v>110</v>
      </c>
      <c r="Z33" s="6">
        <f>Z4</f>
        <v>10.433842750854613</v>
      </c>
      <c r="AH33" s="47" t="s">
        <v>110</v>
      </c>
      <c r="AI33" s="6">
        <f>AI6</f>
        <v>9.4281263532018489</v>
      </c>
      <c r="AR33" s="47" t="s">
        <v>110</v>
      </c>
      <c r="AS33" s="6">
        <f>AS2</f>
        <v>13.769269616276784</v>
      </c>
      <c r="AU33" s="5"/>
      <c r="AV33" s="5"/>
      <c r="AW33" s="5"/>
      <c r="AX33" s="5"/>
      <c r="AY33" s="5"/>
      <c r="AZ33" s="5"/>
      <c r="BB33" s="25" t="s">
        <v>110</v>
      </c>
      <c r="BC33" s="6">
        <f>BC3</f>
        <v>11.185932317578771</v>
      </c>
      <c r="BF33" s="48"/>
      <c r="BI33" s="48"/>
      <c r="BK33" s="49"/>
      <c r="BL33" s="14" t="s">
        <v>110</v>
      </c>
      <c r="BM33" s="5">
        <f>BM2</f>
        <v>15.045580323060534</v>
      </c>
      <c r="BN33" s="5"/>
      <c r="BO33" s="5"/>
      <c r="BP33" s="5"/>
      <c r="BQ33" s="5"/>
      <c r="BR33" s="5"/>
      <c r="BS33" s="5"/>
      <c r="BT33" s="5"/>
      <c r="BV33" s="14" t="s">
        <v>110</v>
      </c>
      <c r="BW33" s="5">
        <f>BW2</f>
        <v>16.782553071523459</v>
      </c>
      <c r="CF33" s="47" t="s">
        <v>110</v>
      </c>
      <c r="CG33" s="5">
        <f>CG2</f>
        <v>15.849650770881601</v>
      </c>
      <c r="CI33" s="8"/>
      <c r="CJ33" s="8"/>
      <c r="CK33" s="5"/>
      <c r="CL33" s="5"/>
      <c r="CM33" s="5"/>
      <c r="CN33" s="5"/>
      <c r="CO33" s="5"/>
      <c r="CP33" s="50" t="s">
        <v>110</v>
      </c>
      <c r="CQ33" s="34">
        <f>CQ2</f>
        <v>17.775636004456306</v>
      </c>
      <c r="CT33" s="11"/>
      <c r="CU33" s="11"/>
      <c r="CV33" s="11"/>
    </row>
    <row r="34" spans="1:102" s="5" customFormat="1">
      <c r="A34" s="14" t="s">
        <v>111</v>
      </c>
      <c r="B34" s="6">
        <f>SUM(B2+B3+B4+B5)</f>
        <v>37.908096829356296</v>
      </c>
      <c r="I34" s="14" t="s">
        <v>111</v>
      </c>
      <c r="J34" s="6">
        <f>SUM(J2+J3+J4+J5)</f>
        <v>38.613319036852289</v>
      </c>
      <c r="Q34" s="14" t="s">
        <v>112</v>
      </c>
      <c r="R34" s="6">
        <f>SUM(R2+R3+R5+R6)</f>
        <v>34.589139529684786</v>
      </c>
      <c r="Y34" s="14" t="s">
        <v>112</v>
      </c>
      <c r="Z34" s="6">
        <f>SUM(Z2+Z6+Z4+Z5)</f>
        <v>34.433440579127286</v>
      </c>
      <c r="AH34" s="14" t="s">
        <v>112</v>
      </c>
      <c r="AI34" s="6">
        <f>SUM(AI5+AI6+AI7+AI10)</f>
        <v>33.097138101102807</v>
      </c>
      <c r="AR34" s="14" t="s">
        <v>112</v>
      </c>
      <c r="AS34" s="6">
        <f>SUM(AS2+AS3+AS4+AS6)</f>
        <v>44.025456008354091</v>
      </c>
      <c r="BB34" s="25" t="s">
        <v>112</v>
      </c>
      <c r="BC34" s="6">
        <f>SUM(BC2+BC3+BC4+BC5)</f>
        <v>39.966508602819232</v>
      </c>
      <c r="BF34" s="8"/>
      <c r="BI34" s="8"/>
      <c r="BK34" s="11"/>
      <c r="BL34" s="14" t="s">
        <v>112</v>
      </c>
      <c r="BM34" s="5">
        <f>SUM(BM2+BM3+BM4+BM5)</f>
        <v>45.448153702703429</v>
      </c>
      <c r="BN34" s="27"/>
      <c r="BO34" s="27"/>
      <c r="BP34" s="27"/>
      <c r="BQ34" s="27"/>
      <c r="BR34" s="27"/>
      <c r="BS34" s="27"/>
      <c r="BT34" s="27"/>
      <c r="BV34" s="14" t="s">
        <v>112</v>
      </c>
      <c r="BW34" s="5">
        <f>SUM(BW2+BW3+BW5+BW6)</f>
        <v>54.546981906835761</v>
      </c>
      <c r="CF34" s="14" t="s">
        <v>112</v>
      </c>
      <c r="CG34" s="8">
        <f>SUM(CG2+CG3+CG6+CG5)</f>
        <v>50.060656321005013</v>
      </c>
      <c r="CI34" s="8"/>
      <c r="CJ34" s="8"/>
      <c r="CP34" s="22" t="s">
        <v>112</v>
      </c>
      <c r="CQ34" s="34">
        <f>SUM(CQ2+CQ3+CQ5+CQ6)</f>
        <v>51.373093303040768</v>
      </c>
    </row>
    <row r="35" spans="1:102" s="5" customFormat="1">
      <c r="A35" s="47" t="s">
        <v>113</v>
      </c>
      <c r="B35" s="6">
        <f>SUM(B2+B3+B4+B5+B6+B14+B7+B8+B9+B10)</f>
        <v>54.188042233413341</v>
      </c>
      <c r="I35" s="47" t="s">
        <v>113</v>
      </c>
      <c r="J35" s="6">
        <f>SUM(J2+J3+J4+J11+J5+J6+J7+J8+J15+J9+J10)</f>
        <v>59.734038833593623</v>
      </c>
      <c r="Q35" s="47" t="s">
        <v>114</v>
      </c>
      <c r="R35" s="6">
        <f>SUM(R2+R3+R4+R5+R6+R7+R8+R15+R9+R10)</f>
        <v>59.381287458615873</v>
      </c>
      <c r="Y35" s="47" t="s">
        <v>114</v>
      </c>
      <c r="Z35" s="6">
        <f>SUM(Z2+Z3+Z4+Z5+Z6+Z7+Z8+Z9+Z10+Z11)</f>
        <v>53.93876935451437</v>
      </c>
      <c r="AH35" s="47" t="s">
        <v>114</v>
      </c>
      <c r="AI35" s="6">
        <f>SUM(AI2+AI3+AI4+AI5+AI6+AI7+AI8+AI14+AI10+AI20)</f>
        <v>58.262052986463758</v>
      </c>
      <c r="AR35" s="47" t="s">
        <v>114</v>
      </c>
      <c r="AS35" s="6">
        <f>SUM(AS2+AS3+AS5+AS4+AS6+AS7+AS8+AS9+AS10+AS11)</f>
        <v>70.631863663987545</v>
      </c>
      <c r="BB35" s="25" t="s">
        <v>114</v>
      </c>
      <c r="BC35" s="6">
        <f>SUM(BC2+BC3+BC4+BC5+BC6+BC7+BC8+BC9+BC10+BC11)</f>
        <v>68.60424440298506</v>
      </c>
      <c r="BE35" s="10"/>
      <c r="BF35" s="8"/>
      <c r="BG35" s="10"/>
      <c r="BH35" s="10"/>
      <c r="BI35" s="8"/>
      <c r="BJ35" s="10"/>
      <c r="BL35" s="14" t="s">
        <v>114</v>
      </c>
      <c r="BM35" s="5">
        <f>SUM(BM2+BM3+BM4+BM5+BM6+BM8+BM7+BM10+BM11+BM12)</f>
        <v>68.367467025555754</v>
      </c>
      <c r="BV35" s="14" t="s">
        <v>114</v>
      </c>
      <c r="BW35" s="5">
        <f>SUM(BW2+BW3+BW5+BW6+BW7+BW9+BW10+BW13+BW11+BW4)</f>
        <v>76.483123586217275</v>
      </c>
      <c r="CF35" s="47" t="s">
        <v>114</v>
      </c>
      <c r="CG35" s="5">
        <f>SUM(CG2+CG3+CG4+CG5+CG6+CG7+CG14+CG9+CG10+CG11)</f>
        <v>71.02392912876229</v>
      </c>
      <c r="CI35" s="8"/>
      <c r="CJ35" s="8"/>
      <c r="CP35" s="50" t="s">
        <v>114</v>
      </c>
      <c r="CQ35" s="34">
        <f>SUM(CQ2+CQ3+CQ5+CQ7+CQ9+CQ10+CQ4+CQ6+CQ11+CQ13)</f>
        <v>72.77419274323276</v>
      </c>
    </row>
    <row r="36" spans="1:102" s="5" customFormat="1">
      <c r="A36" s="47" t="s">
        <v>115</v>
      </c>
      <c r="B36" s="6">
        <f>SUMSQ(B2:B24)</f>
        <v>494.7880130207426</v>
      </c>
      <c r="I36" s="47" t="s">
        <v>115</v>
      </c>
      <c r="J36" s="6">
        <f>SUMSQ(J2:J26)</f>
        <v>494.33297240105986</v>
      </c>
      <c r="Q36" s="47" t="s">
        <v>115</v>
      </c>
      <c r="R36" s="6">
        <f>SUMSQ(R2:R25)</f>
        <v>479.37221275005641</v>
      </c>
      <c r="Y36" s="14" t="s">
        <v>116</v>
      </c>
      <c r="Z36" s="6">
        <f>SUMSQ(Z2:Z20)</f>
        <v>406.528460643931</v>
      </c>
      <c r="AH36" s="14" t="s">
        <v>117</v>
      </c>
      <c r="AI36" s="6">
        <f>SUMSQ(AI2:AI20)</f>
        <v>411.94405508883085</v>
      </c>
      <c r="AR36" s="14" t="s">
        <v>118</v>
      </c>
      <c r="AS36" s="6">
        <f>SUMSQ(AS2:AS20)</f>
        <v>652.66314310653058</v>
      </c>
      <c r="BB36" s="25" t="s">
        <v>115</v>
      </c>
      <c r="BC36" s="6">
        <f>SUMSQ(BC2:BC16)</f>
        <v>573.81470768633108</v>
      </c>
      <c r="BE36" s="10"/>
      <c r="BF36" s="8"/>
      <c r="BG36" s="10"/>
      <c r="BH36" s="17"/>
      <c r="BI36" s="17"/>
      <c r="BJ36" s="17"/>
      <c r="BL36" s="14" t="s">
        <v>119</v>
      </c>
      <c r="BM36" s="5">
        <f>SUMSQ(BM2:BM14)</f>
        <v>657.38455224208133</v>
      </c>
      <c r="BO36" s="29"/>
      <c r="BV36" s="14" t="s">
        <v>119</v>
      </c>
      <c r="BW36" s="5">
        <f>SUMSQ(BW2:BW19)</f>
        <v>876.1838697070159</v>
      </c>
      <c r="CF36" s="14" t="s">
        <v>120</v>
      </c>
      <c r="CG36" s="8">
        <f>SUMSQ(CG2:CG19)</f>
        <v>741.96669537933951</v>
      </c>
      <c r="CJ36" s="8"/>
      <c r="CO36" s="14"/>
      <c r="CP36" s="22" t="s">
        <v>119</v>
      </c>
      <c r="CQ36" s="34">
        <f>SUMSQ(CQ2:CQ19)</f>
        <v>793.30564038713942</v>
      </c>
      <c r="CT36" s="27"/>
      <c r="CU36" s="27"/>
      <c r="CV36" s="27"/>
    </row>
    <row r="37" spans="1:102" s="5" customFormat="1">
      <c r="BE37" s="10"/>
      <c r="BF37" s="8"/>
      <c r="BG37" s="10"/>
      <c r="BH37" s="10"/>
      <c r="BI37" s="10"/>
      <c r="BJ37" s="10"/>
      <c r="CF37" s="15" t="s">
        <v>121</v>
      </c>
      <c r="CG37" s="8">
        <f>SUM(CG2+CG3+CG5+CG6)</f>
        <v>50.060656321005013</v>
      </c>
      <c r="CH37" s="14"/>
      <c r="CI37" s="14"/>
      <c r="CJ37" s="8"/>
      <c r="CP37" s="22" t="s">
        <v>121</v>
      </c>
      <c r="CQ37" s="34">
        <v>50</v>
      </c>
      <c r="CR37" s="22"/>
    </row>
    <row r="38" spans="1:102" s="5" customFormat="1">
      <c r="A38" s="29"/>
      <c r="I38" s="29"/>
      <c r="Q38" s="29"/>
      <c r="AR38" s="14"/>
      <c r="AS38" s="14"/>
      <c r="AT38" s="14"/>
      <c r="AU38" s="14"/>
      <c r="AV38" s="14"/>
      <c r="AW38" s="14"/>
      <c r="AX38" s="14"/>
      <c r="AY38" s="14"/>
      <c r="AZ38" s="14"/>
      <c r="BB38" s="27"/>
      <c r="BC38" s="10"/>
      <c r="BD38" s="10"/>
      <c r="BE38" s="10"/>
      <c r="BF38" s="8"/>
      <c r="BG38" s="10"/>
      <c r="BH38" s="10"/>
      <c r="BI38" s="10"/>
      <c r="BJ38" s="10"/>
      <c r="CJ38" s="8"/>
      <c r="CK38" s="14"/>
      <c r="CL38" s="14"/>
      <c r="CM38" s="14"/>
      <c r="CN38" s="14"/>
    </row>
    <row r="39" spans="1:102" s="53" customFormat="1">
      <c r="A39" s="51"/>
      <c r="B39" s="52">
        <v>1984</v>
      </c>
      <c r="C39" s="52">
        <v>1988</v>
      </c>
      <c r="D39" s="52">
        <v>1992</v>
      </c>
      <c r="E39" s="52">
        <v>1996</v>
      </c>
      <c r="F39" s="52">
        <v>2000</v>
      </c>
      <c r="G39" s="52">
        <v>2004</v>
      </c>
      <c r="H39" s="52">
        <v>2008</v>
      </c>
      <c r="I39" s="52">
        <v>2010</v>
      </c>
      <c r="J39" s="52">
        <v>2011</v>
      </c>
      <c r="K39" s="52" t="s">
        <v>122</v>
      </c>
      <c r="L39" s="52">
        <v>2012</v>
      </c>
      <c r="M39" s="14">
        <v>2013</v>
      </c>
      <c r="N39" s="14"/>
      <c r="O39" s="14"/>
      <c r="P39" s="14"/>
      <c r="Q39" s="14"/>
      <c r="R39" s="14"/>
      <c r="S39" s="14"/>
      <c r="T39" s="14"/>
      <c r="U39" s="14"/>
      <c r="V39" s="14"/>
      <c r="W39" s="14"/>
      <c r="X39" s="14"/>
      <c r="Y39" s="14"/>
      <c r="Z39" s="14"/>
      <c r="AA39" s="14"/>
      <c r="AB39" s="14"/>
      <c r="AC39" s="14"/>
      <c r="AD39" s="14"/>
      <c r="AE39" s="14"/>
      <c r="AF39" s="14"/>
      <c r="AG39" s="14"/>
      <c r="AH39" s="14"/>
      <c r="AI39" s="14"/>
      <c r="AJ39" s="14"/>
      <c r="AK39" s="14"/>
      <c r="AL39" s="14"/>
      <c r="AM39" s="14"/>
      <c r="AN39" s="14"/>
      <c r="AO39" s="14"/>
      <c r="AP39" s="14"/>
      <c r="AQ39" s="14"/>
      <c r="AR39" s="5"/>
      <c r="AS39" s="5"/>
      <c r="AT39" s="5"/>
      <c r="AU39" s="5"/>
      <c r="AV39" s="5"/>
      <c r="AW39" s="5"/>
      <c r="AX39" s="5"/>
      <c r="AY39" s="5"/>
      <c r="AZ39" s="5"/>
      <c r="BA39" s="14"/>
      <c r="BB39" s="14"/>
      <c r="BC39" s="14"/>
      <c r="BD39" s="14"/>
      <c r="BE39" s="14"/>
      <c r="BF39" s="14"/>
      <c r="BG39" s="14"/>
      <c r="BH39" s="14"/>
      <c r="BI39" s="14"/>
      <c r="BJ39" s="14"/>
      <c r="BK39" s="14"/>
      <c r="BN39" s="5"/>
      <c r="BO39" s="5"/>
      <c r="BP39" s="5"/>
      <c r="BQ39" s="5"/>
      <c r="BR39" s="5"/>
      <c r="BS39" s="5"/>
      <c r="BT39" s="5"/>
      <c r="BU39" s="14"/>
      <c r="BV39" s="14"/>
      <c r="BW39" s="14"/>
      <c r="BX39" s="14"/>
      <c r="BY39" s="14"/>
      <c r="BZ39" s="14"/>
      <c r="CA39" s="14"/>
      <c r="CB39" s="14"/>
      <c r="CC39" s="14"/>
      <c r="CD39" s="14"/>
      <c r="CE39" s="5"/>
      <c r="CJ39" s="14"/>
      <c r="CK39" s="5"/>
      <c r="CL39" s="5"/>
      <c r="CM39" s="5"/>
      <c r="CN39" s="5"/>
      <c r="CO39" s="5"/>
      <c r="CT39" s="5"/>
      <c r="CU39" s="5"/>
      <c r="CV39" s="5"/>
      <c r="CW39" s="14"/>
      <c r="CX39" s="14"/>
    </row>
    <row r="40" spans="1:102" s="5" customFormat="1">
      <c r="A40" s="29" t="s">
        <v>115</v>
      </c>
      <c r="B40" s="5">
        <f>B36</f>
        <v>494.7880130207426</v>
      </c>
      <c r="C40" s="5">
        <f>J36</f>
        <v>494.33297240105986</v>
      </c>
      <c r="D40" s="5">
        <f>R36</f>
        <v>479.37221275005641</v>
      </c>
      <c r="E40" s="5">
        <f>Z36</f>
        <v>406.528460643931</v>
      </c>
      <c r="F40" s="5">
        <f>AI36</f>
        <v>411.94405508883085</v>
      </c>
      <c r="G40" s="5">
        <f>AS36</f>
        <v>652.66314310653058</v>
      </c>
      <c r="H40" s="5">
        <f>BC36</f>
        <v>573.81470768633108</v>
      </c>
      <c r="I40" s="5">
        <f>BM36</f>
        <v>657.38455224208133</v>
      </c>
      <c r="J40" s="5">
        <f>BW36</f>
        <v>876.1838697070159</v>
      </c>
      <c r="K40" s="5">
        <v>871.8</v>
      </c>
      <c r="L40" s="5">
        <f>CG36</f>
        <v>741.96669537933951</v>
      </c>
      <c r="M40" s="5">
        <f>CQ36</f>
        <v>793.30564038713942</v>
      </c>
      <c r="BL40" s="14"/>
      <c r="BM40" s="14"/>
      <c r="BN40" s="14"/>
      <c r="BO40" s="14"/>
      <c r="BP40" s="14"/>
      <c r="BQ40" s="14"/>
      <c r="BR40" s="14"/>
      <c r="BS40" s="14"/>
      <c r="BT40" s="14"/>
    </row>
    <row r="41" spans="1:102" s="5" customFormat="1">
      <c r="CR41" s="14"/>
    </row>
    <row r="42" spans="1:102" s="5" customFormat="1">
      <c r="A42" s="5" t="s">
        <v>123</v>
      </c>
      <c r="B42" s="5">
        <f>B34</f>
        <v>37.908096829356296</v>
      </c>
      <c r="C42" s="5">
        <f>J34</f>
        <v>38.613319036852289</v>
      </c>
      <c r="D42" s="5">
        <f>R34</f>
        <v>34.589139529684786</v>
      </c>
      <c r="E42" s="5">
        <f>Z34</f>
        <v>34.433440579127286</v>
      </c>
      <c r="F42" s="5">
        <f>AI34</f>
        <v>33.097138101102807</v>
      </c>
      <c r="G42" s="5">
        <f>AS34</f>
        <v>44.025456008354091</v>
      </c>
      <c r="H42" s="5">
        <f>BC34</f>
        <v>39.966508602819232</v>
      </c>
      <c r="I42" s="5">
        <f>BM34</f>
        <v>45.448153702703429</v>
      </c>
      <c r="J42" s="5">
        <f>BW34</f>
        <v>54.546981906835761</v>
      </c>
      <c r="K42" s="5">
        <v>54.5486117279235</v>
      </c>
      <c r="L42" s="5">
        <f>CG34</f>
        <v>50.060656321005013</v>
      </c>
      <c r="M42" s="5">
        <f>CQ34</f>
        <v>51.373093303040768</v>
      </c>
      <c r="BF42" s="9"/>
      <c r="BG42" s="10"/>
      <c r="BH42" s="10"/>
      <c r="BI42" s="10"/>
      <c r="BJ42" s="10"/>
      <c r="BK42" s="10"/>
      <c r="CH42" s="8"/>
      <c r="CL42" s="8"/>
      <c r="CO42" s="8"/>
      <c r="CS42" s="53"/>
      <c r="CT42" s="53"/>
      <c r="CU42" s="53"/>
      <c r="CV42" s="53"/>
    </row>
    <row r="43" spans="1:102" s="5" customFormat="1">
      <c r="CF43" s="54"/>
      <c r="CO43" s="55"/>
    </row>
    <row r="44" spans="1:102" s="5" customFormat="1">
      <c r="BE44" s="9"/>
      <c r="BF44" s="10"/>
      <c r="BG44" s="10"/>
      <c r="BH44" s="17"/>
      <c r="BI44" s="17"/>
      <c r="BJ44" s="17"/>
      <c r="CF44" s="54"/>
      <c r="CK44" s="17"/>
      <c r="CL44" s="17"/>
      <c r="CM44" s="17"/>
      <c r="CN44" s="8"/>
      <c r="CO44" s="33"/>
      <c r="CP44" s="56"/>
      <c r="CQ44" s="57"/>
    </row>
    <row r="45" spans="1:102">
      <c r="A45" s="5"/>
      <c r="B45" s="5"/>
      <c r="C45" s="5"/>
      <c r="D45" s="5"/>
      <c r="E45" s="5"/>
      <c r="F45" s="5"/>
      <c r="G45" s="5"/>
      <c r="H45" s="5"/>
      <c r="I45" s="5"/>
      <c r="J45" s="5"/>
      <c r="K45" s="5"/>
      <c r="L45" s="5"/>
      <c r="M45" s="5"/>
      <c r="N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29"/>
      <c r="BC45" s="46"/>
      <c r="BD45" s="5"/>
      <c r="BE45" s="9"/>
      <c r="BF45" s="10"/>
      <c r="BG45" s="10"/>
      <c r="BH45" s="10"/>
      <c r="BI45" s="17"/>
      <c r="BJ45" s="17"/>
      <c r="BK45" s="5"/>
      <c r="BL45" s="5"/>
      <c r="BM45" s="6"/>
      <c r="BN45" s="6"/>
      <c r="BO45" s="6"/>
      <c r="BP45" s="6"/>
      <c r="BQ45" s="5"/>
      <c r="BR45" s="5"/>
      <c r="BS45" s="5"/>
      <c r="BT45" s="5"/>
      <c r="BU45" s="5"/>
      <c r="BV45" s="5"/>
      <c r="BW45" s="5"/>
      <c r="BX45" s="5"/>
      <c r="BY45" s="5"/>
      <c r="BZ45" s="5"/>
      <c r="CA45" s="5"/>
      <c r="CB45" s="5"/>
      <c r="CC45" s="5"/>
      <c r="CD45" s="5"/>
      <c r="CE45" s="5"/>
      <c r="CF45" s="54"/>
      <c r="CG45" s="5"/>
      <c r="CH45" s="5"/>
      <c r="CI45" s="5"/>
      <c r="CJ45" s="5"/>
      <c r="CK45" s="17"/>
      <c r="CL45" s="5"/>
      <c r="CM45" s="17"/>
      <c r="CN45" s="5"/>
      <c r="CO45" s="33"/>
      <c r="CQ45" s="34"/>
      <c r="CR45" s="5"/>
      <c r="CS45" s="5"/>
      <c r="CT45" s="5"/>
      <c r="CU45" s="5"/>
      <c r="CV45" s="5"/>
    </row>
    <row r="46" spans="1:102">
      <c r="Q46" s="5"/>
      <c r="R46" s="5"/>
      <c r="S46" s="5"/>
      <c r="T46" s="5"/>
      <c r="U46" s="5"/>
      <c r="Y46" s="5"/>
      <c r="Z46" s="5"/>
      <c r="AA46" s="5"/>
      <c r="AB46" s="5"/>
      <c r="AC46" s="5"/>
      <c r="AD46" s="5"/>
      <c r="AE46" s="5"/>
      <c r="AF46" s="5"/>
      <c r="AG46" s="5"/>
      <c r="AH46" s="5"/>
      <c r="AI46" s="5"/>
      <c r="AJ46" s="5"/>
      <c r="AK46" s="5"/>
      <c r="AL46" s="5"/>
      <c r="AM46" s="5"/>
      <c r="AN46" s="5"/>
      <c r="AO46" s="5"/>
      <c r="AP46" s="5"/>
      <c r="AQ46" s="5"/>
      <c r="BA46" s="5"/>
      <c r="BB46" s="29"/>
      <c r="BC46" s="46"/>
      <c r="BD46" s="5"/>
      <c r="BE46" s="9"/>
      <c r="BF46" s="10"/>
      <c r="BG46" s="10"/>
      <c r="BH46" s="10"/>
      <c r="BI46" s="10"/>
      <c r="BJ46" s="10"/>
      <c r="BK46" s="5"/>
      <c r="BL46" s="5"/>
      <c r="BM46" s="6"/>
      <c r="BN46" s="6"/>
      <c r="BO46" s="6"/>
      <c r="BP46" s="6"/>
      <c r="BQ46" s="5"/>
      <c r="BR46" s="5"/>
      <c r="BS46" s="5"/>
      <c r="BT46" s="5"/>
      <c r="BU46" s="5"/>
      <c r="BV46" s="5"/>
      <c r="BW46" s="5"/>
      <c r="BX46" s="5"/>
      <c r="BY46" s="5"/>
      <c r="BZ46" s="5"/>
      <c r="CA46" s="5"/>
      <c r="CB46" s="5"/>
      <c r="CC46" s="5"/>
      <c r="CD46" s="5"/>
      <c r="CE46" s="5"/>
      <c r="CF46" s="58"/>
      <c r="CG46" s="9"/>
      <c r="CH46" s="9"/>
      <c r="CI46" s="9"/>
      <c r="CJ46" s="9"/>
      <c r="CK46" s="9"/>
      <c r="CL46" s="9"/>
      <c r="CM46" s="9"/>
      <c r="CN46" s="9"/>
      <c r="CO46" s="9"/>
      <c r="CR46" s="5"/>
      <c r="CS46" s="5"/>
      <c r="CT46" s="5"/>
      <c r="CU46" s="5"/>
      <c r="CV46" s="5"/>
    </row>
    <row r="47" spans="1:102">
      <c r="BB47" s="59"/>
      <c r="BC47" s="60"/>
      <c r="BE47" s="9"/>
      <c r="BF47" s="10"/>
      <c r="BG47" s="10"/>
      <c r="BH47" s="10"/>
      <c r="BI47" s="10"/>
      <c r="BJ47" s="10"/>
      <c r="BL47" s="5"/>
      <c r="BM47" s="6"/>
      <c r="BN47" s="6"/>
      <c r="BO47" s="6"/>
      <c r="BP47" s="6"/>
      <c r="BQ47" s="6"/>
      <c r="BR47" s="5"/>
      <c r="BS47" s="5"/>
      <c r="BT47" s="5"/>
      <c r="CF47" s="5"/>
      <c r="CS47" s="5"/>
      <c r="CT47" s="5"/>
      <c r="CU47" s="5"/>
      <c r="CV47" s="5"/>
    </row>
    <row r="48" spans="1:102">
      <c r="BB48" s="59"/>
      <c r="BC48" s="60"/>
      <c r="BE48" s="9"/>
      <c r="BF48" s="5"/>
      <c r="BG48" s="10"/>
      <c r="BH48" s="5"/>
      <c r="BI48" s="5"/>
      <c r="BJ48" s="5"/>
      <c r="BL48" s="5"/>
      <c r="BM48" s="6"/>
      <c r="BN48" s="6"/>
      <c r="BO48" s="6"/>
      <c r="BP48" s="6"/>
      <c r="BQ48" s="6"/>
      <c r="CF48" s="54"/>
      <c r="CG48" s="9"/>
      <c r="CH48" s="9"/>
      <c r="CI48" s="9"/>
      <c r="CJ48" s="9"/>
      <c r="CK48" s="9"/>
      <c r="CL48" s="9"/>
      <c r="CM48" s="9"/>
      <c r="CN48" s="9"/>
      <c r="CO48" s="9"/>
      <c r="CQ48" s="61"/>
    </row>
    <row r="49" spans="54:95">
      <c r="BB49" s="59"/>
      <c r="BC49" s="60"/>
      <c r="BE49" s="9"/>
      <c r="BF49" s="5"/>
      <c r="BG49" s="10"/>
      <c r="BH49" s="5"/>
      <c r="BI49" s="5"/>
      <c r="BJ49" s="5"/>
      <c r="CF49" s="54"/>
      <c r="CG49" s="5"/>
      <c r="CH49" s="5"/>
      <c r="CI49" s="5"/>
      <c r="CJ49" s="5"/>
      <c r="CK49" s="5"/>
      <c r="CL49" s="5"/>
      <c r="CN49" s="5"/>
      <c r="CO49" s="5"/>
      <c r="CQ49" s="57"/>
    </row>
    <row r="50" spans="54:95">
      <c r="BB50" s="62"/>
      <c r="BC50" s="60"/>
      <c r="BE50" s="9"/>
      <c r="BF50" s="11"/>
      <c r="BG50" s="10"/>
      <c r="BH50" s="11"/>
      <c r="BI50" s="11"/>
      <c r="BJ50" s="11"/>
      <c r="CF50" s="54"/>
      <c r="CG50" s="5"/>
      <c r="CH50" s="5"/>
      <c r="CI50" s="5"/>
      <c r="CJ50" s="5"/>
      <c r="CK50" s="17"/>
      <c r="CL50" s="5"/>
      <c r="CM50" s="17"/>
      <c r="CN50" s="17"/>
      <c r="CO50" s="33"/>
      <c r="CP50" s="17"/>
      <c r="CQ50" s="57"/>
    </row>
    <row r="51" spans="54:95">
      <c r="BB51" s="62"/>
      <c r="BC51" s="60"/>
      <c r="BF51" s="5"/>
      <c r="BG51" s="10"/>
      <c r="BH51" s="5"/>
      <c r="BI51" s="5"/>
      <c r="BJ51" s="5"/>
      <c r="CO51" s="33"/>
    </row>
    <row r="52" spans="54:95">
      <c r="BB52" s="62"/>
      <c r="BC52" s="60"/>
      <c r="BF52" s="5"/>
      <c r="BG52" s="10"/>
      <c r="BH52" s="5"/>
      <c r="BI52" s="5"/>
      <c r="BJ52" s="5"/>
      <c r="CI52" s="5"/>
      <c r="CJ52" s="5"/>
    </row>
    <row r="53" spans="54:95">
      <c r="BB53" s="62"/>
      <c r="BC53" s="60"/>
      <c r="BF53" s="10"/>
      <c r="BG53" s="5"/>
      <c r="BH53" s="5"/>
      <c r="BI53" s="5"/>
      <c r="BJ53" s="5"/>
      <c r="CI53" s="5"/>
      <c r="CJ53" s="5"/>
    </row>
    <row r="54" spans="54:95">
      <c r="BB54" s="62"/>
      <c r="BC54" s="60"/>
      <c r="BF54" s="10"/>
      <c r="BG54" s="10"/>
      <c r="BH54" s="10"/>
      <c r="BI54" s="10"/>
      <c r="BJ54" s="5"/>
    </row>
    <row r="55" spans="54:95">
      <c r="BC55" s="60"/>
      <c r="BF55" s="10"/>
      <c r="BG55" s="10"/>
      <c r="BH55" s="10"/>
      <c r="BI55" s="10"/>
      <c r="BJ55" s="5"/>
    </row>
    <row r="56" spans="54:95">
      <c r="BC56" s="60"/>
      <c r="BF56" s="10"/>
      <c r="BG56" s="10"/>
      <c r="BH56" s="10"/>
      <c r="BI56" s="10"/>
      <c r="BJ56" s="10"/>
    </row>
    <row r="57" spans="54:95">
      <c r="BC57" s="60"/>
      <c r="BF57" s="10"/>
      <c r="BG57" s="10"/>
      <c r="BH57" s="10"/>
      <c r="BI57" s="10"/>
      <c r="BJ57" s="10"/>
    </row>
    <row r="58" spans="54:95">
      <c r="BC58" s="60"/>
      <c r="BF58" s="5"/>
      <c r="BG58" s="5"/>
      <c r="BH58" s="5"/>
      <c r="BI58" s="5"/>
      <c r="BJ58" s="10"/>
    </row>
    <row r="59" spans="54:95">
      <c r="BC59" s="60"/>
      <c r="BF59" s="5"/>
      <c r="BG59" s="5"/>
      <c r="BH59" s="5"/>
      <c r="BI59" s="5"/>
      <c r="BJ59" s="5"/>
    </row>
    <row r="60" spans="54:95">
      <c r="BC60" s="60"/>
      <c r="BF60" s="5"/>
      <c r="BG60" s="5"/>
      <c r="BH60" s="5"/>
      <c r="BI60" s="5"/>
      <c r="BJ60" s="5"/>
    </row>
    <row r="61" spans="54:95">
      <c r="BC61" s="60"/>
      <c r="BF61" s="5"/>
      <c r="BG61" s="5"/>
      <c r="BH61" s="5"/>
      <c r="BI61" s="5"/>
      <c r="BJ61" s="5"/>
    </row>
    <row r="62" spans="54:95">
      <c r="BF62" s="5"/>
      <c r="BG62" s="5"/>
      <c r="BH62" s="5"/>
      <c r="BI62" s="5"/>
      <c r="BJ62" s="5"/>
    </row>
    <row r="63" spans="54:95">
      <c r="BF63" s="5"/>
      <c r="BG63" s="5"/>
      <c r="BH63" s="5"/>
      <c r="BI63" s="5"/>
      <c r="BJ63" s="5"/>
    </row>
    <row r="64" spans="54:95">
      <c r="BF64" s="5"/>
      <c r="BG64" s="5"/>
      <c r="BH64" s="5"/>
      <c r="BI64" s="5"/>
      <c r="BJ64" s="5"/>
    </row>
    <row r="66" spans="54:55">
      <c r="BB66" s="59"/>
    </row>
    <row r="67" spans="54:55">
      <c r="BB67" s="59"/>
      <c r="BC67" s="60"/>
    </row>
    <row r="68" spans="54:55">
      <c r="BB68" s="59"/>
      <c r="BC68" s="60"/>
    </row>
    <row r="69" spans="54:55">
      <c r="BB69" s="59"/>
      <c r="BC69" s="60"/>
    </row>
    <row r="70" spans="54:55">
      <c r="BB70" s="59"/>
      <c r="BC70" s="60"/>
    </row>
    <row r="71" spans="54:55">
      <c r="BB71" s="59"/>
      <c r="BC71" s="60"/>
    </row>
    <row r="72" spans="54:55">
      <c r="BB72" s="59"/>
      <c r="BC72" s="60"/>
    </row>
    <row r="73" spans="54:55">
      <c r="BB73" s="59"/>
      <c r="BC73" s="60"/>
    </row>
    <row r="74" spans="54:55">
      <c r="BB74" s="59"/>
      <c r="BC74" s="60"/>
    </row>
    <row r="75" spans="54:55">
      <c r="BB75" s="59"/>
      <c r="BC75" s="60"/>
    </row>
    <row r="76" spans="54:55">
      <c r="BB76" s="59" t="s">
        <v>124</v>
      </c>
      <c r="BC76" s="60">
        <v>31148</v>
      </c>
    </row>
    <row r="77" spans="54:55">
      <c r="BB77" s="59" t="s">
        <v>109</v>
      </c>
      <c r="BC77" s="8">
        <v>11.2</v>
      </c>
    </row>
    <row r="78" spans="54:55">
      <c r="BB78" s="8" t="s">
        <v>125</v>
      </c>
      <c r="BC78" s="8">
        <v>41.6</v>
      </c>
    </row>
    <row r="79" spans="54:55">
      <c r="BB79" s="59" t="s">
        <v>126</v>
      </c>
      <c r="BC79" s="8">
        <v>70</v>
      </c>
    </row>
    <row r="80" spans="54:55">
      <c r="BB80" s="8" t="s">
        <v>127</v>
      </c>
      <c r="BC80" s="8">
        <v>615.4</v>
      </c>
    </row>
  </sheetData>
  <sheetCalcPr fullCalcOnLoad="1"/>
  <mergeCells count="1">
    <mergeCell ref="BB50:BB54"/>
  </mergeCells>
  <phoneticPr fontId="3" type="noConversion"/>
  <pageMargins left="0.75" right="0.75" top="1" bottom="1" header="0.5" footer="0.5"/>
  <legacyDrawing r:id="rId1"/>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2</vt:i4>
      </vt:variant>
    </vt:vector>
  </HeadingPairs>
  <TitlesOfParts>
    <vt:vector size="2" baseType="lpstr">
      <vt:lpstr>Top 20 w Telecoms</vt:lpstr>
      <vt:lpstr>Top 20 no Telecoms</vt:lpstr>
    </vt:vector>
  </TitlesOfParts>
  <Company>School of Life</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Caitlin Currie</dc:creator>
  <cp:lastModifiedBy>Caitlin Currie</cp:lastModifiedBy>
  <dcterms:created xsi:type="dcterms:W3CDTF">2014-11-24T20:14:30Z</dcterms:created>
  <dcterms:modified xsi:type="dcterms:W3CDTF">2014-11-24T20:16:03Z</dcterms:modified>
</cp:coreProperties>
</file>