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20" tabRatio="500"/>
  </bookViews>
  <sheets>
    <sheet name="Total TV " sheetId="1" r:id="rId1"/>
  </sheets>
  <definedNames>
    <definedName name="_xlnm.Print_Area" localSheetId="0">'Total TV '!$A$1:$G$40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1" i="1"/>
  <c r="G22"/>
  <c r="G26"/>
  <c r="G27"/>
  <c r="G30"/>
  <c r="G31"/>
  <c r="G32"/>
  <c r="G38"/>
  <c r="F21"/>
  <c r="F22"/>
  <c r="F26"/>
  <c r="F27"/>
  <c r="F30"/>
  <c r="F31"/>
  <c r="F32"/>
  <c r="F38"/>
  <c r="E21"/>
  <c r="E22"/>
  <c r="E26"/>
  <c r="E27"/>
  <c r="E30"/>
  <c r="E31"/>
  <c r="E32"/>
  <c r="E38"/>
  <c r="D21"/>
  <c r="D22"/>
  <c r="D23"/>
  <c r="D26"/>
  <c r="D27"/>
  <c r="D30"/>
  <c r="D31"/>
  <c r="D32"/>
  <c r="D38"/>
  <c r="C21"/>
  <c r="C22"/>
  <c r="C23"/>
  <c r="C26"/>
  <c r="C27"/>
  <c r="C28"/>
  <c r="C30"/>
  <c r="C31"/>
  <c r="C32"/>
  <c r="C38"/>
  <c r="B21"/>
  <c r="B22"/>
  <c r="B24"/>
  <c r="B26"/>
  <c r="B27"/>
  <c r="B29"/>
  <c r="B28"/>
  <c r="B30"/>
  <c r="B31"/>
  <c r="B32"/>
  <c r="B38"/>
  <c r="G37"/>
  <c r="F37"/>
  <c r="E37"/>
  <c r="D37"/>
  <c r="C37"/>
  <c r="B37"/>
  <c r="G7"/>
  <c r="G25"/>
  <c r="G36"/>
  <c r="F25"/>
  <c r="F36"/>
  <c r="E25"/>
  <c r="E36"/>
  <c r="D25"/>
  <c r="D36"/>
  <c r="C25"/>
  <c r="C36"/>
  <c r="B25"/>
  <c r="B36"/>
  <c r="G35"/>
  <c r="F35"/>
  <c r="E35"/>
  <c r="D35"/>
  <c r="C35"/>
  <c r="B35"/>
  <c r="G33"/>
  <c r="F33"/>
  <c r="E33"/>
  <c r="D33"/>
  <c r="C33"/>
  <c r="B33"/>
</calcChain>
</file>

<file path=xl/comments1.xml><?xml version="1.0" encoding="utf-8"?>
<comments xmlns="http://schemas.openxmlformats.org/spreadsheetml/2006/main">
  <authors>
    <author>Dwayne Winseck</author>
  </authors>
  <commentList>
    <comment ref="F4" authorId="0">
      <text>
        <r>
          <rPr>
            <b/>
            <sz val="10"/>
            <color indexed="81"/>
            <rFont val="Cambria"/>
          </rPr>
          <t>Dwayne Winseck:</t>
        </r>
        <r>
          <rPr>
            <sz val="10"/>
            <color indexed="81"/>
            <rFont val="Cambria"/>
          </rPr>
          <t xml:space="preserve">
This figue is based on Astral's Pay and Specialty TV segment's (total revenues = $586.0 m for 2012) but excludes Astral's in-house advertising and online divisions (see PWC, 2013, p. 60). Astral's Pay and Specialty TV services are allocated 53/47 between English and French-language services, respectively, based on the proportion of each language's services as represented in the CRTC's Financial Summaries for Individual Pay, pay-per-view, video-on-demand and specialty service.includes estimate of $4.4m for Astral's 2 conventional TV stations, as noted in PWC (2013) Revised Financial Evaluation: Astral, p. 60.</t>
        </r>
        <r>
          <rPr>
            <sz val="9"/>
            <color indexed="81"/>
            <rFont val="Verdana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<sst xmlns="http://schemas.openxmlformats.org/spreadsheetml/2006/main" count="44" uniqueCount="28">
  <si>
    <t>English-Language Total TV, Revenues ($mills) and Concentration Levels, 2004 -2012 (1)</t>
    <phoneticPr fontId="5" type="noConversion"/>
  </si>
  <si>
    <t>Bell + Astral</t>
  </si>
  <si>
    <t>BCE (1)</t>
  </si>
  <si>
    <t xml:space="preserve">   Astral (2)</t>
  </si>
  <si>
    <t xml:space="preserve">   CTVglobemedia</t>
  </si>
  <si>
    <t>Bell</t>
  </si>
  <si>
    <t xml:space="preserve">   CHUM (3)</t>
  </si>
  <si>
    <t>Bell/Rogers</t>
  </si>
  <si>
    <t>Shaw/Corus (4)</t>
  </si>
  <si>
    <t xml:space="preserve">   Shaw*</t>
  </si>
  <si>
    <t xml:space="preserve">   Corus*</t>
  </si>
  <si>
    <t xml:space="preserve">   Canwest </t>
  </si>
  <si>
    <t>Shaw</t>
  </si>
  <si>
    <t xml:space="preserve">   Atlantis Alliance (5)</t>
  </si>
  <si>
    <t>CBC (6)</t>
  </si>
  <si>
    <t xml:space="preserve">Rogers </t>
  </si>
  <si>
    <t>Quebecor</t>
  </si>
  <si>
    <t>Other</t>
  </si>
  <si>
    <t>Total $</t>
  </si>
  <si>
    <t>English-Language Total TV, Market Shares and Concentration Levels, 2004 -2012(1)</t>
    <phoneticPr fontId="5" type="noConversion"/>
  </si>
  <si>
    <t xml:space="preserve">   Canwest</t>
  </si>
  <si>
    <t>Canwest</t>
  </si>
  <si>
    <t>Rogers</t>
  </si>
  <si>
    <t>CR4</t>
  </si>
  <si>
    <t>HHI</t>
  </si>
  <si>
    <t>CR4 (Shaw/Corus separate)</t>
  </si>
  <si>
    <t>HHI (Shaw/Corus separate)</t>
  </si>
  <si>
    <r>
      <t xml:space="preserve">Notes and Sources: </t>
    </r>
    <r>
      <rPr>
        <sz val="12"/>
        <rFont val="Cambria"/>
      </rPr>
      <t>See Appendix 2.</t>
    </r>
    <phoneticPr fontId="5" type="noConversion"/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</si>
</sst>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"/>
    <numFmt numFmtId="165" formatCode="0.0"/>
    <numFmt numFmtId="166" formatCode="0.0_ "/>
    <numFmt numFmtId="167" formatCode="0.0%"/>
  </numFmts>
  <fonts count="17">
    <font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b/>
      <sz val="12"/>
      <name val="Cambria"/>
    </font>
    <font>
      <sz val="8"/>
      <name val="Verdana"/>
    </font>
    <font>
      <sz val="12"/>
      <name val="Cambria"/>
    </font>
    <font>
      <sz val="12"/>
      <name val="Verdana"/>
    </font>
    <font>
      <sz val="10"/>
      <color indexed="12"/>
      <name val="Verdana"/>
    </font>
    <font>
      <i/>
      <sz val="12"/>
      <name val="Cambria"/>
    </font>
    <font>
      <sz val="10"/>
      <color indexed="10"/>
      <name val="Verdana"/>
    </font>
    <font>
      <sz val="10"/>
      <color indexed="52"/>
      <name val="Verdana"/>
    </font>
    <font>
      <sz val="12"/>
      <name val="Calibri"/>
    </font>
    <font>
      <sz val="12"/>
      <color indexed="16"/>
      <name val="Calibri"/>
      <family val="2"/>
    </font>
    <font>
      <b/>
      <sz val="10"/>
      <color indexed="81"/>
      <name val="Cambria"/>
    </font>
    <font>
      <sz val="10"/>
      <color indexed="81"/>
      <name val="Cambria"/>
    </font>
    <font>
      <sz val="9"/>
      <color indexed="81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2" borderId="0" xfId="0" applyFont="1" applyFill="1"/>
    <xf numFmtId="0" fontId="1" fillId="0" borderId="0" xfId="0" applyFont="1" applyFill="1"/>
    <xf numFmtId="0" fontId="1" fillId="0" borderId="0" xfId="0" applyFont="1"/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164" fontId="3" fillId="0" borderId="0" xfId="0" applyNumberFormat="1" applyFont="1"/>
    <xf numFmtId="165" fontId="6" fillId="0" borderId="0" xfId="0" applyNumberFormat="1" applyFont="1" applyFill="1"/>
    <xf numFmtId="165" fontId="6" fillId="2" borderId="0" xfId="0" applyNumberFormat="1" applyFont="1" applyFill="1"/>
    <xf numFmtId="0" fontId="8" fillId="0" borderId="0" xfId="0" applyFont="1" applyFill="1"/>
    <xf numFmtId="0" fontId="8" fillId="0" borderId="0" xfId="0" applyFont="1"/>
    <xf numFmtId="165" fontId="6" fillId="0" borderId="0" xfId="0" applyNumberFormat="1" applyFont="1" applyAlignment="1">
      <alignment horizontal="right" vertical="top"/>
    </xf>
    <xf numFmtId="0" fontId="0" fillId="0" borderId="0" xfId="0" applyFill="1"/>
    <xf numFmtId="165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0" fillId="3" borderId="0" xfId="0" applyFill="1"/>
    <xf numFmtId="0" fontId="9" fillId="3" borderId="0" xfId="0" applyFont="1" applyFill="1"/>
    <xf numFmtId="0" fontId="6" fillId="3" borderId="0" xfId="0" applyFont="1" applyFill="1"/>
    <xf numFmtId="165" fontId="3" fillId="3" borderId="0" xfId="0" applyNumberFormat="1" applyFont="1" applyFill="1"/>
    <xf numFmtId="165" fontId="3" fillId="2" borderId="0" xfId="0" applyNumberFormat="1" applyFont="1" applyFill="1"/>
    <xf numFmtId="165" fontId="3" fillId="0" borderId="0" xfId="0" applyNumberFormat="1" applyFont="1" applyFill="1"/>
    <xf numFmtId="165" fontId="2" fillId="3" borderId="0" xfId="0" applyNumberFormat="1" applyFont="1" applyFill="1"/>
    <xf numFmtId="0" fontId="2" fillId="3" borderId="0" xfId="0" applyFont="1" applyFill="1"/>
    <xf numFmtId="165" fontId="6" fillId="3" borderId="0" xfId="0" applyNumberFormat="1" applyFont="1" applyFill="1"/>
    <xf numFmtId="164" fontId="6" fillId="0" borderId="0" xfId="0" applyNumberFormat="1" applyFont="1" applyAlignment="1">
      <alignment horizontal="right"/>
    </xf>
    <xf numFmtId="2" fontId="6" fillId="0" borderId="0" xfId="0" applyNumberFormat="1" applyFont="1" applyFill="1"/>
    <xf numFmtId="0" fontId="6" fillId="2" borderId="0" xfId="0" applyFont="1" applyFill="1"/>
    <xf numFmtId="0" fontId="6" fillId="0" borderId="0" xfId="0" applyFont="1" applyFill="1"/>
    <xf numFmtId="0" fontId="3" fillId="0" borderId="0" xfId="0" applyFont="1" applyFill="1"/>
    <xf numFmtId="0" fontId="3" fillId="0" borderId="0" xfId="0" applyFont="1"/>
    <xf numFmtId="165" fontId="6" fillId="0" borderId="0" xfId="0" applyNumberFormat="1" applyFont="1" applyFill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164" fontId="6" fillId="0" borderId="0" xfId="0" applyNumberFormat="1" applyFont="1"/>
    <xf numFmtId="165" fontId="4" fillId="0" borderId="0" xfId="0" applyNumberFormat="1" applyFont="1" applyFill="1"/>
    <xf numFmtId="0" fontId="3" fillId="2" borderId="0" xfId="0" applyFont="1" applyFill="1"/>
    <xf numFmtId="0" fontId="0" fillId="0" borderId="0" xfId="0" applyFont="1" applyFill="1"/>
    <xf numFmtId="0" fontId="10" fillId="0" borderId="0" xfId="0" applyFont="1" applyFill="1"/>
    <xf numFmtId="165" fontId="1" fillId="0" borderId="0" xfId="0" applyNumberFormat="1" applyFont="1" applyFill="1"/>
    <xf numFmtId="165" fontId="3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2" borderId="0" xfId="0" applyNumberFormat="1" applyFont="1" applyFill="1" applyAlignment="1">
      <alignment horizontal="right" vertical="top"/>
    </xf>
    <xf numFmtId="0" fontId="11" fillId="0" borderId="0" xfId="0" applyFont="1" applyFill="1"/>
    <xf numFmtId="0" fontId="11" fillId="0" borderId="0" xfId="0" applyFont="1"/>
    <xf numFmtId="0" fontId="0" fillId="2" borderId="0" xfId="0" applyFill="1"/>
    <xf numFmtId="0" fontId="12" fillId="3" borderId="0" xfId="1" applyFont="1" applyFill="1" applyBorder="1" applyAlignment="1">
      <alignment vertical="top" wrapText="1"/>
    </xf>
  </cellXfs>
  <cellStyles count="2">
    <cellStyle name="Bad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AG46"/>
  <sheetViews>
    <sheetView tabSelected="1" topLeftCell="A7" workbookViewId="0">
      <selection activeCell="I14" sqref="I14"/>
    </sheetView>
  </sheetViews>
  <sheetFormatPr baseColWidth="10" defaultColWidth="11" defaultRowHeight="15"/>
  <cols>
    <col min="1" max="1" width="20.7109375" style="8" customWidth="1"/>
    <col min="2" max="3" width="14.42578125" style="8" customWidth="1"/>
    <col min="4" max="5" width="11" style="8"/>
    <col min="6" max="6" width="11" style="32"/>
    <col min="7" max="7" width="11" style="31"/>
    <col min="8" max="8" width="11" style="8"/>
    <col min="9" max="9" width="11" style="32"/>
    <col min="10" max="14" width="11" style="16"/>
  </cols>
  <sheetData>
    <row r="1" spans="1:28" s="5" customFormat="1">
      <c r="A1" s="1" t="s">
        <v>0</v>
      </c>
      <c r="B1" s="1"/>
      <c r="C1" s="1"/>
      <c r="D1" s="1"/>
      <c r="E1" s="1"/>
      <c r="F1" s="2"/>
      <c r="G1" s="3"/>
      <c r="H1" s="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s="5" customFormat="1">
      <c r="A2" s="1"/>
      <c r="B2" s="6">
        <v>2004</v>
      </c>
      <c r="C2" s="6">
        <v>2008</v>
      </c>
      <c r="D2" s="6">
        <v>2010</v>
      </c>
      <c r="E2" s="6">
        <v>2011</v>
      </c>
      <c r="F2" s="4">
        <v>2012</v>
      </c>
      <c r="G2" s="7" t="s">
        <v>1</v>
      </c>
      <c r="H2" s="4"/>
    </row>
    <row r="3" spans="1:28" s="14" customFormat="1" ht="16">
      <c r="A3" s="8" t="s">
        <v>2</v>
      </c>
      <c r="B3" s="9">
        <v>914.8</v>
      </c>
      <c r="C3" s="10">
        <v>51.4</v>
      </c>
      <c r="D3" s="10">
        <v>58.7</v>
      </c>
      <c r="E3" s="10">
        <v>1707.2</v>
      </c>
      <c r="F3" s="11">
        <v>1738.7</v>
      </c>
      <c r="G3" s="12">
        <v>1935.5</v>
      </c>
      <c r="H3" s="13"/>
      <c r="I3" s="11"/>
      <c r="J3" s="13"/>
      <c r="K3" s="13"/>
      <c r="L3" s="13"/>
      <c r="M3" s="13"/>
      <c r="N3" s="13"/>
      <c r="O3" s="13"/>
      <c r="P3" s="13"/>
    </row>
    <row r="4" spans="1:28">
      <c r="A4" s="8" t="s">
        <v>3</v>
      </c>
      <c r="B4" s="8">
        <v>170</v>
      </c>
      <c r="C4" s="15">
        <v>251.846</v>
      </c>
      <c r="D4" s="15">
        <v>283.887</v>
      </c>
      <c r="E4" s="15">
        <v>299.68700000000001</v>
      </c>
      <c r="F4" s="11">
        <v>302.10000000000002</v>
      </c>
      <c r="G4" s="12">
        <v>69.400000000000006</v>
      </c>
      <c r="H4" s="16"/>
      <c r="I4" s="11"/>
      <c r="O4" s="16"/>
      <c r="P4" s="16"/>
    </row>
    <row r="5" spans="1:28">
      <c r="A5" s="8" t="s">
        <v>4</v>
      </c>
      <c r="C5" s="17">
        <v>1414.9</v>
      </c>
      <c r="D5" s="17">
        <v>1588</v>
      </c>
      <c r="E5" s="18" t="s">
        <v>5</v>
      </c>
      <c r="F5" s="11"/>
      <c r="G5" s="12"/>
      <c r="H5" s="16"/>
      <c r="I5" s="11"/>
      <c r="O5" s="16"/>
      <c r="P5" s="16"/>
    </row>
    <row r="6" spans="1:28">
      <c r="A6" s="8" t="s">
        <v>6</v>
      </c>
      <c r="B6" s="8">
        <v>168.4</v>
      </c>
      <c r="C6" s="18" t="s">
        <v>7</v>
      </c>
      <c r="D6" s="19"/>
      <c r="E6" s="19"/>
      <c r="F6" s="11"/>
      <c r="G6" s="12"/>
      <c r="H6" s="16"/>
      <c r="I6" s="11"/>
      <c r="O6" s="16"/>
      <c r="P6" s="16"/>
      <c r="Q6" s="16"/>
      <c r="R6" s="16"/>
      <c r="S6" s="16"/>
    </row>
    <row r="7" spans="1:28" s="20" customFormat="1">
      <c r="A7" s="8" t="s">
        <v>8</v>
      </c>
      <c r="B7" s="8">
        <v>369.3</v>
      </c>
      <c r="C7" s="8">
        <v>512.20000000000005</v>
      </c>
      <c r="D7" s="8">
        <v>1485.8000000000002</v>
      </c>
      <c r="E7" s="17">
        <v>1632.9</v>
      </c>
      <c r="F7" s="11">
        <v>1575.3999999999999</v>
      </c>
      <c r="G7" s="12">
        <f>SUM(G8:G9)</f>
        <v>1653.4</v>
      </c>
      <c r="H7" s="16"/>
      <c r="I7" s="11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28" s="20" customFormat="1">
      <c r="A8" s="21" t="s">
        <v>9</v>
      </c>
      <c r="B8" s="21">
        <v>16.7</v>
      </c>
      <c r="C8" s="21">
        <v>62</v>
      </c>
      <c r="D8" s="22">
        <v>966.6</v>
      </c>
      <c r="E8" s="22">
        <v>1049.9000000000001</v>
      </c>
      <c r="F8" s="23">
        <v>983.2</v>
      </c>
      <c r="G8" s="24">
        <v>1005.7</v>
      </c>
      <c r="H8" s="16"/>
      <c r="I8" s="25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28">
      <c r="A9" s="21" t="s">
        <v>10</v>
      </c>
      <c r="B9" s="26">
        <v>352.6</v>
      </c>
      <c r="C9" s="27">
        <v>450.2</v>
      </c>
      <c r="D9" s="27">
        <v>519.20000000000005</v>
      </c>
      <c r="E9" s="26">
        <v>583.79999999999995</v>
      </c>
      <c r="F9" s="28">
        <v>592.20000000000005</v>
      </c>
      <c r="G9" s="12">
        <v>647.70000000000005</v>
      </c>
      <c r="H9" s="16"/>
      <c r="I9" s="11"/>
      <c r="O9" s="16"/>
      <c r="P9" s="16"/>
      <c r="Q9" s="16"/>
      <c r="R9" s="16"/>
      <c r="S9" s="16"/>
    </row>
    <row r="10" spans="1:28">
      <c r="A10" s="8" t="s">
        <v>11</v>
      </c>
      <c r="B10" s="8">
        <v>712.7</v>
      </c>
      <c r="C10" s="8">
        <v>1039.7</v>
      </c>
      <c r="D10" s="29" t="s">
        <v>12</v>
      </c>
      <c r="E10" s="29"/>
      <c r="F10" s="30"/>
      <c r="H10" s="16"/>
      <c r="O10" s="16"/>
      <c r="P10" s="16"/>
      <c r="Q10" s="16"/>
      <c r="R10" s="16"/>
      <c r="S10" s="16"/>
    </row>
    <row r="11" spans="1:28" s="34" customFormat="1">
      <c r="A11" s="8" t="s">
        <v>13</v>
      </c>
      <c r="B11" s="8">
        <v>213.1</v>
      </c>
      <c r="C11" s="8"/>
      <c r="D11" s="29"/>
      <c r="E11" s="29"/>
      <c r="F11" s="11"/>
      <c r="G11" s="12"/>
      <c r="H11" s="33"/>
      <c r="I11" s="11"/>
      <c r="J11" s="33"/>
      <c r="K11" s="33"/>
      <c r="L11" s="33"/>
      <c r="M11" s="33"/>
      <c r="N11" s="33"/>
      <c r="O11" s="33"/>
      <c r="P11" s="33"/>
    </row>
    <row r="12" spans="1:28">
      <c r="A12" s="8" t="s">
        <v>14</v>
      </c>
      <c r="B12" s="17">
        <v>654.16200000000003</v>
      </c>
      <c r="C12" s="8">
        <v>853</v>
      </c>
      <c r="D12" s="29">
        <v>818.6</v>
      </c>
      <c r="E12" s="29">
        <v>868.8</v>
      </c>
      <c r="F12" s="32">
        <v>900.2</v>
      </c>
      <c r="G12" s="31">
        <v>896.2</v>
      </c>
      <c r="H12" s="35"/>
    </row>
    <row r="13" spans="1:28">
      <c r="A13" s="34" t="s">
        <v>15</v>
      </c>
      <c r="B13" s="34">
        <v>185.6</v>
      </c>
      <c r="C13" s="19">
        <v>520.20000000000005</v>
      </c>
      <c r="D13" s="36">
        <v>606.20000000000005</v>
      </c>
      <c r="E13" s="19">
        <v>719.3</v>
      </c>
      <c r="F13" s="25">
        <v>743.4</v>
      </c>
      <c r="G13" s="24">
        <v>738.8</v>
      </c>
      <c r="H13" s="16"/>
      <c r="I13" s="25"/>
      <c r="O13" s="16"/>
      <c r="P13" s="16"/>
    </row>
    <row r="14" spans="1:28">
      <c r="A14" s="8" t="s">
        <v>16</v>
      </c>
      <c r="B14" s="8">
        <v>6.8</v>
      </c>
      <c r="C14" s="36">
        <v>7.3</v>
      </c>
      <c r="D14" s="19">
        <v>8.6</v>
      </c>
      <c r="E14" s="19">
        <v>8.9</v>
      </c>
      <c r="F14" s="25">
        <v>9.8000000000000007</v>
      </c>
      <c r="G14" s="24">
        <v>9.8000000000000007</v>
      </c>
      <c r="H14" s="16"/>
      <c r="I14" s="25"/>
      <c r="O14" s="16"/>
      <c r="P14" s="16"/>
    </row>
    <row r="15" spans="1:28">
      <c r="A15" s="8" t="s">
        <v>17</v>
      </c>
      <c r="B15" s="37">
        <v>442.99799999999999</v>
      </c>
      <c r="C15" s="17">
        <v>322.55399999999997</v>
      </c>
      <c r="D15" s="17">
        <v>581.21299999999974</v>
      </c>
      <c r="E15" s="17">
        <v>474.41299999999956</v>
      </c>
      <c r="F15" s="25">
        <v>683.80000000000018</v>
      </c>
      <c r="G15" s="24">
        <v>650.29999999999927</v>
      </c>
      <c r="H15" s="16"/>
      <c r="I15" s="25"/>
      <c r="J15" s="38"/>
      <c r="K15" s="2"/>
      <c r="L15" s="2"/>
      <c r="M15" s="2"/>
      <c r="N15" s="4"/>
      <c r="O15" s="4"/>
      <c r="P15" s="16"/>
    </row>
    <row r="16" spans="1:28" s="34" customFormat="1">
      <c r="A16" s="8" t="s">
        <v>18</v>
      </c>
      <c r="B16" s="17">
        <v>4020.2</v>
      </c>
      <c r="C16" s="8">
        <v>4966.7</v>
      </c>
      <c r="D16" s="8">
        <v>5447.6</v>
      </c>
      <c r="E16" s="8">
        <v>5727.7</v>
      </c>
      <c r="F16" s="33">
        <v>5780.5</v>
      </c>
      <c r="G16" s="39">
        <v>5780.5</v>
      </c>
      <c r="H16" s="33"/>
      <c r="I16" s="40"/>
      <c r="J16" s="41"/>
      <c r="K16" s="41"/>
      <c r="L16" s="41"/>
      <c r="M16" s="41"/>
      <c r="N16" s="41"/>
      <c r="O16" s="41"/>
      <c r="P16" s="41"/>
    </row>
    <row r="17" spans="1:33" s="5" customFormat="1">
      <c r="A17" s="1"/>
      <c r="H17" s="4"/>
      <c r="I17" s="4"/>
      <c r="J17" s="42"/>
      <c r="K17" s="42"/>
      <c r="L17" s="42"/>
      <c r="M17" s="42"/>
      <c r="N17" s="42"/>
      <c r="O17" s="42"/>
      <c r="P17" s="4"/>
    </row>
    <row r="18" spans="1:33" ht="13">
      <c r="A18" s="34"/>
      <c r="B18" s="43"/>
      <c r="C18" s="43"/>
      <c r="D18" s="43"/>
      <c r="E18" s="43"/>
      <c r="F18" s="25"/>
      <c r="G18" s="25"/>
      <c r="H18" s="16"/>
      <c r="I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3">
      <c r="A19" s="1" t="s">
        <v>19</v>
      </c>
      <c r="H19" s="16"/>
      <c r="I19" s="4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s="5" customFormat="1">
      <c r="A20" s="1"/>
      <c r="B20" s="6">
        <v>2004</v>
      </c>
      <c r="C20" s="6">
        <v>2008</v>
      </c>
      <c r="D20" s="6">
        <v>2010</v>
      </c>
      <c r="E20" s="6">
        <v>2011</v>
      </c>
      <c r="F20" s="4">
        <v>2012</v>
      </c>
      <c r="G20" s="7" t="s">
        <v>1</v>
      </c>
    </row>
    <row r="21" spans="1:33" s="14" customFormat="1">
      <c r="A21" s="8" t="s">
        <v>2</v>
      </c>
      <c r="B21" s="17">
        <f>914.8/B34*100</f>
        <v>22.755086811601412</v>
      </c>
      <c r="C21" s="17">
        <f>51.4/C34*100</f>
        <v>1.0348923832725956</v>
      </c>
      <c r="D21" s="17">
        <f>58.7/D34*100</f>
        <v>1.0775387326529113</v>
      </c>
      <c r="E21" s="17">
        <f>1707.2/E34*100</f>
        <v>29.806030343768008</v>
      </c>
      <c r="F21" s="11">
        <f>1738.7/F34*100</f>
        <v>30.078712914107776</v>
      </c>
      <c r="G21" s="12">
        <f>1935.5/G34*100</f>
        <v>33.48326269353862</v>
      </c>
      <c r="H21" s="13"/>
    </row>
    <row r="22" spans="1:33" s="5" customFormat="1">
      <c r="A22" s="8" t="s">
        <v>3</v>
      </c>
      <c r="B22" s="17">
        <f>170/B34*100</f>
        <v>4.2286453410278098</v>
      </c>
      <c r="C22" s="17">
        <f>251.8/C34*100</f>
        <v>5.0697646324521317</v>
      </c>
      <c r="D22" s="17">
        <f>283.9/D34*100</f>
        <v>5.211469270871576</v>
      </c>
      <c r="E22" s="44">
        <f>299.7/E34*100</f>
        <v>5.2324667842240338</v>
      </c>
      <c r="F22" s="11">
        <f>302.1/F34*100</f>
        <v>5.2261915059250938</v>
      </c>
      <c r="G22" s="12">
        <f>69.4/G34*100</f>
        <v>1.200588184413113</v>
      </c>
      <c r="H22" s="4"/>
    </row>
    <row r="23" spans="1:33">
      <c r="A23" s="8" t="s">
        <v>4</v>
      </c>
      <c r="B23" s="17"/>
      <c r="C23" s="17">
        <f>1414.9/C34*100</f>
        <v>28.487728270280066</v>
      </c>
      <c r="D23" s="17">
        <f>1588/D34*100</f>
        <v>29.150451575005505</v>
      </c>
      <c r="E23" s="44" t="s">
        <v>5</v>
      </c>
      <c r="F23" s="11"/>
      <c r="G23" s="12"/>
      <c r="H23" s="16"/>
      <c r="I23"/>
      <c r="J23"/>
      <c r="K23"/>
      <c r="L23"/>
      <c r="M23"/>
      <c r="N23"/>
    </row>
    <row r="24" spans="1:33">
      <c r="A24" s="8" t="s">
        <v>6</v>
      </c>
      <c r="B24" s="17">
        <f>168.4/B34*100</f>
        <v>4.1888463260534303</v>
      </c>
      <c r="C24" s="18" t="s">
        <v>7</v>
      </c>
      <c r="D24" s="17"/>
      <c r="E24" s="17"/>
      <c r="F24" s="11"/>
      <c r="G24" s="12"/>
      <c r="H24" s="16"/>
      <c r="I24"/>
      <c r="J24"/>
      <c r="K24"/>
      <c r="L24"/>
      <c r="M24"/>
      <c r="N24"/>
    </row>
    <row r="25" spans="1:33">
      <c r="A25" s="8" t="s">
        <v>8</v>
      </c>
      <c r="B25" s="17">
        <f>369.3/B34*100</f>
        <v>9.1861101437739432</v>
      </c>
      <c r="C25" s="17">
        <f>512.2/C34*100</f>
        <v>10.312682465218355</v>
      </c>
      <c r="D25" s="17">
        <f>D7/D16*100</f>
        <v>27.274396064321905</v>
      </c>
      <c r="E25" s="17">
        <f>E7/E16*100</f>
        <v>28.508825532063479</v>
      </c>
      <c r="F25" s="11">
        <f>F7/F16*100</f>
        <v>27.253697777008906</v>
      </c>
      <c r="G25" s="12">
        <f>G7/G16*100</f>
        <v>28.603062018856502</v>
      </c>
      <c r="H25" s="16"/>
      <c r="I25"/>
      <c r="J25"/>
      <c r="K25"/>
      <c r="L25"/>
      <c r="M25"/>
      <c r="N25"/>
    </row>
    <row r="26" spans="1:33" s="16" customFormat="1">
      <c r="A26" s="21" t="s">
        <v>9</v>
      </c>
      <c r="B26" s="28">
        <f>16.7/B34*100</f>
        <v>0.41540221879508477</v>
      </c>
      <c r="C26" s="28">
        <f>62/C34*100</f>
        <v>1.2483137697062436</v>
      </c>
      <c r="D26" s="28">
        <f>D8/D16*100</f>
        <v>17.743593509068212</v>
      </c>
      <c r="E26" s="28">
        <f>E8/E16*100</f>
        <v>18.330219808998379</v>
      </c>
      <c r="F26" s="28">
        <f>F8/F16*100</f>
        <v>17.008909263904506</v>
      </c>
      <c r="G26" s="28">
        <f>G8/G16*100</f>
        <v>17.39814894905285</v>
      </c>
    </row>
    <row r="27" spans="1:33" s="16" customFormat="1">
      <c r="A27" s="21" t="s">
        <v>10</v>
      </c>
      <c r="B27" s="28">
        <f>352.6/B34*100</f>
        <v>8.7707079249788578</v>
      </c>
      <c r="C27" s="28">
        <f>450.2/C34*100</f>
        <v>9.0643686955121101</v>
      </c>
      <c r="D27" s="28">
        <f>D9/D16*100</f>
        <v>9.5308025552536897</v>
      </c>
      <c r="E27" s="28">
        <f>E9/E16*100</f>
        <v>10.192572935035004</v>
      </c>
      <c r="F27" s="28">
        <f>F9/F16*100</f>
        <v>10.244788513104403</v>
      </c>
      <c r="G27" s="28">
        <f>G9/G16*100</f>
        <v>11.204913069803652</v>
      </c>
    </row>
    <row r="28" spans="1:33">
      <c r="A28" s="8" t="s">
        <v>20</v>
      </c>
      <c r="B28" s="17">
        <f>712.7/B34*100</f>
        <v>17.727973732650117</v>
      </c>
      <c r="C28" s="17">
        <f>1039.7/C34*100</f>
        <v>20.933416554251316</v>
      </c>
      <c r="D28" s="17" t="s">
        <v>12</v>
      </c>
      <c r="E28" s="17"/>
      <c r="F28" s="11"/>
      <c r="G28" s="12"/>
      <c r="H28" s="16"/>
      <c r="I28"/>
      <c r="J28"/>
      <c r="K28"/>
      <c r="L28"/>
      <c r="M28"/>
      <c r="N28"/>
    </row>
    <row r="29" spans="1:33">
      <c r="A29" s="8" t="s">
        <v>13</v>
      </c>
      <c r="B29" s="17">
        <f>213.1/B34*100</f>
        <v>5.300731306900154</v>
      </c>
      <c r="C29" s="8" t="s">
        <v>21</v>
      </c>
      <c r="D29" s="29"/>
      <c r="E29" s="29"/>
      <c r="F29" s="11"/>
      <c r="G29" s="45"/>
      <c r="H29" s="16"/>
      <c r="I29"/>
      <c r="J29"/>
      <c r="K29"/>
      <c r="L29"/>
      <c r="M29"/>
      <c r="N29"/>
    </row>
    <row r="30" spans="1:33">
      <c r="A30" s="8" t="s">
        <v>14</v>
      </c>
      <c r="B30" s="17">
        <f>654.2/B34*100</f>
        <v>16.272822247649373</v>
      </c>
      <c r="C30" s="17">
        <f>853/C34*100</f>
        <v>17.174381379990738</v>
      </c>
      <c r="D30" s="17">
        <f>818.6/D34*100</f>
        <v>15.026800793009764</v>
      </c>
      <c r="E30" s="17">
        <f>868.8/E34*100</f>
        <v>15.168392199312114</v>
      </c>
      <c r="F30" s="11">
        <f>900.2/F34*100</f>
        <v>15.573047314246175</v>
      </c>
      <c r="G30" s="12">
        <f>896.2/G34*100</f>
        <v>15.503849147997578</v>
      </c>
      <c r="H30" s="16"/>
      <c r="I30"/>
      <c r="J30"/>
      <c r="K30"/>
      <c r="L30"/>
      <c r="M30"/>
      <c r="N30"/>
    </row>
    <row r="31" spans="1:33">
      <c r="A31" s="34" t="s">
        <v>22</v>
      </c>
      <c r="B31" s="17">
        <f>185.6/B34*100</f>
        <v>4.6166857370280079</v>
      </c>
      <c r="C31" s="17">
        <f>520.2/C34*100</f>
        <v>10.473755209696581</v>
      </c>
      <c r="D31" s="17">
        <f>606.2/D34*100</f>
        <v>11.127836111315075</v>
      </c>
      <c r="E31" s="17">
        <f>719.3/E34*100</f>
        <v>12.558269462436931</v>
      </c>
      <c r="F31" s="11">
        <f>743.4/F34*100</f>
        <v>12.860479197301272</v>
      </c>
      <c r="G31" s="12">
        <f>738.8/G34*100</f>
        <v>12.780901306115386</v>
      </c>
      <c r="H31" s="16"/>
      <c r="I31"/>
      <c r="J31"/>
      <c r="K31"/>
      <c r="L31"/>
      <c r="M31"/>
      <c r="N31"/>
    </row>
    <row r="32" spans="1:33" s="47" customFormat="1">
      <c r="A32" s="8" t="s">
        <v>16</v>
      </c>
      <c r="B32" s="17">
        <f>6.8/B34*100</f>
        <v>0.16914581364111239</v>
      </c>
      <c r="C32" s="17">
        <f>7.3/C34*100</f>
        <v>0.14697887933638029</v>
      </c>
      <c r="D32" s="17">
        <f>8.6/D34*100</f>
        <v>0.15786768485204491</v>
      </c>
      <c r="E32" s="17">
        <f>8.9/E34*100</f>
        <v>0.15538523316514483</v>
      </c>
      <c r="F32" s="11">
        <f>9.8/F34*100</f>
        <v>0.16953550730905634</v>
      </c>
      <c r="G32" s="12">
        <f>9.8/G34*100</f>
        <v>0.16953550730905634</v>
      </c>
      <c r="H32" s="46"/>
    </row>
    <row r="33" spans="1:18">
      <c r="A33" s="8" t="s">
        <v>17</v>
      </c>
      <c r="B33" s="17">
        <f>443/B34*100</f>
        <v>11.019352271031293</v>
      </c>
      <c r="C33" s="17">
        <f>322.6/C34*100</f>
        <v>6.4952584210844222</v>
      </c>
      <c r="D33" s="17">
        <f>581.2/D34*100</f>
        <v>10.668918422791689</v>
      </c>
      <c r="E33" s="17">
        <f>474.4/E34*100</f>
        <v>8.2825566981510903</v>
      </c>
      <c r="F33" s="11">
        <f>F15/F16*100</f>
        <v>11.829426520197218</v>
      </c>
      <c r="G33" s="12">
        <f>G15/G16*100</f>
        <v>11.249891877865224</v>
      </c>
      <c r="H33" s="16"/>
      <c r="I33"/>
      <c r="J33"/>
      <c r="K33"/>
      <c r="L33"/>
      <c r="M33"/>
      <c r="N33"/>
    </row>
    <row r="34" spans="1:18">
      <c r="A34" s="1" t="s">
        <v>18</v>
      </c>
      <c r="B34" s="16">
        <v>4020.2</v>
      </c>
      <c r="C34" s="16">
        <v>4966.7</v>
      </c>
      <c r="D34" s="16">
        <v>5447.6</v>
      </c>
      <c r="E34" s="16">
        <v>5727.7</v>
      </c>
      <c r="F34" s="16">
        <v>5780.5</v>
      </c>
      <c r="G34" s="48">
        <v>5780.5</v>
      </c>
      <c r="H34" s="16"/>
      <c r="I34"/>
      <c r="J34"/>
      <c r="K34"/>
      <c r="L34"/>
      <c r="M34"/>
      <c r="N34"/>
    </row>
    <row r="35" spans="1:18">
      <c r="A35" s="1" t="s">
        <v>23</v>
      </c>
      <c r="B35" s="17">
        <f>SUM(B21+B28+B30+B25)</f>
        <v>65.941992935674847</v>
      </c>
      <c r="C35" s="17">
        <f>SUM(C23+C31+C28+C30)</f>
        <v>77.069281414218707</v>
      </c>
      <c r="D35" s="17">
        <f>SUM(D23+D25+D30+D31)</f>
        <v>82.579484543652256</v>
      </c>
      <c r="E35" s="17">
        <f>SUM(E21+E25+E30+E31)</f>
        <v>86.041517537580518</v>
      </c>
      <c r="F35" s="11">
        <f>SUM(F21+F25+F30+F31)</f>
        <v>85.765937202664119</v>
      </c>
      <c r="G35" s="12">
        <f>SUM(G21+G25+G30+G31)</f>
        <v>90.371075166508078</v>
      </c>
      <c r="H35" s="16"/>
      <c r="I35"/>
      <c r="J35"/>
      <c r="K35"/>
      <c r="L35"/>
      <c r="M35"/>
      <c r="N35"/>
    </row>
    <row r="36" spans="1:18">
      <c r="A36" s="1" t="s">
        <v>24</v>
      </c>
      <c r="B36" s="17">
        <f>SUMSQ(B21,B22,B24,B25,B28,B29,B30,B31,B32)</f>
        <v>1266.1324167983771</v>
      </c>
      <c r="C36" s="17">
        <f>SUMSQ(C21,C22,C23,C25,C28,C30,C31,C32)</f>
        <v>1787.5640527059475</v>
      </c>
      <c r="D36" s="17">
        <f>SUMSQ(D21,D22,D23,D25,D30,D31,D32)</f>
        <v>1971.6204101808526</v>
      </c>
      <c r="E36" s="17">
        <f>SUMSQ(E21,E22,E25,E30,E31,E32)</f>
        <v>2116.3456850932757</v>
      </c>
      <c r="F36" s="11">
        <f>SUMSQ(F21,F22,F25,F30,F31,F32)</f>
        <v>2082.7465608706652</v>
      </c>
      <c r="G36" s="12">
        <f>SUMSQ(G21,G22,G25,G30,G31,G32)</f>
        <v>2344.4549683363844</v>
      </c>
      <c r="H36" s="16"/>
      <c r="I36"/>
      <c r="J36"/>
      <c r="K36"/>
      <c r="L36"/>
      <c r="M36"/>
      <c r="N36"/>
    </row>
    <row r="37" spans="1:18">
      <c r="A37" s="49" t="s">
        <v>25</v>
      </c>
      <c r="B37" s="28">
        <f>SUM(B21+B27+B28+B30)</f>
        <v>65.526590716879753</v>
      </c>
      <c r="C37" s="28">
        <f>SUM(C23+C28+C30+C31)</f>
        <v>77.069281414218693</v>
      </c>
      <c r="D37" s="28">
        <f>SUM(D23+D26+D30+D31)</f>
        <v>73.048681988398556</v>
      </c>
      <c r="E37" s="28">
        <f>SUM(E21+E26+E30+E31)</f>
        <v>75.862911814515428</v>
      </c>
      <c r="F37" s="28">
        <f>SUM(F21+F26+F30+F31)</f>
        <v>75.521148689559723</v>
      </c>
      <c r="G37" s="28">
        <f>SUM(G21+G26+G30+G31)</f>
        <v>79.16616209670444</v>
      </c>
      <c r="H37" s="32"/>
      <c r="I37" s="16"/>
      <c r="L37"/>
      <c r="M37"/>
      <c r="N37"/>
    </row>
    <row r="38" spans="1:18">
      <c r="A38" s="49" t="s">
        <v>26</v>
      </c>
      <c r="B38" s="28">
        <f>SUMSQ(B21,B22,B24,B26,B27,B29,B28,B30,B31,B32)</f>
        <v>1258.8456737334975</v>
      </c>
      <c r="C38" s="28">
        <f>SUMSQ(C21,C22,C23,C26,C27,C28,C30,C31,C32)</f>
        <v>1764.9337001933434</v>
      </c>
      <c r="D38" s="28">
        <f>SUMSQ(D21,D22,D23,D26,D27,D30,D31,D32)</f>
        <v>1633.3990374696318</v>
      </c>
      <c r="E38" s="28">
        <f>SUMSQ(E21,E22,E26,E27,E30,E31,E32)</f>
        <v>1743.478053157846</v>
      </c>
      <c r="F38" s="28">
        <f>SUMSQ(F21,F22,F26,F27,F30,F31,F32)</f>
        <v>1734.2412043760976</v>
      </c>
      <c r="G38" s="28">
        <f>SUMSQ(G21,G22,G26,G27,G30,G31,G32)</f>
        <v>1954.5654752371188</v>
      </c>
      <c r="H38" s="32"/>
      <c r="I38" s="16"/>
      <c r="L38"/>
      <c r="M38"/>
      <c r="N38"/>
    </row>
    <row r="39" spans="1:18">
      <c r="P39" s="16"/>
      <c r="Q39" s="16"/>
      <c r="R39" s="16"/>
    </row>
    <row r="40" spans="1:18">
      <c r="A40" s="1" t="s">
        <v>27</v>
      </c>
      <c r="B40" s="1"/>
      <c r="C40" s="1"/>
    </row>
    <row r="43" spans="1:18">
      <c r="C43" s="16"/>
      <c r="D43" s="16"/>
      <c r="E43" s="16"/>
      <c r="F43" s="16"/>
      <c r="G43" s="16"/>
      <c r="H43" s="48"/>
    </row>
    <row r="45" spans="1:18">
      <c r="C45" s="32"/>
      <c r="D45" s="31"/>
      <c r="G45" s="32"/>
      <c r="H45" s="16"/>
      <c r="I45" s="16"/>
      <c r="L45"/>
      <c r="M45"/>
      <c r="N45"/>
    </row>
    <row r="46" spans="1:18">
      <c r="F46" s="8"/>
      <c r="G46" s="8"/>
    </row>
  </sheetData>
  <phoneticPr fontId="5" type="noConversion"/>
  <pageMargins left="0.75000000000000011" right="0.75000000000000011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TV 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2013-11-03T23:04:37Z</dcterms:created>
  <dcterms:modified xsi:type="dcterms:W3CDTF">2013-11-03T23:05:09Z</dcterms:modified>
</cp:coreProperties>
</file>