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Default Extension="jpeg" ContentType="image/jpe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40" tabRatio="500"/>
  </bookViews>
  <sheets>
    <sheet name="Wireline Telecoms ($)" sheetId="1" r:id="rId1"/>
    <sheet name="Wireline Telecoms (mrkt share)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3" i="2"/>
  <c r="K8"/>
  <c r="K11"/>
  <c r="K12"/>
  <c r="K13"/>
  <c r="K14"/>
  <c r="K16"/>
  <c r="K18"/>
  <c r="K17"/>
  <c r="K20"/>
  <c r="K22"/>
  <c r="K37"/>
  <c r="J3"/>
  <c r="J8"/>
  <c r="J11"/>
  <c r="J16"/>
  <c r="J20"/>
  <c r="J22"/>
  <c r="J18"/>
  <c r="J37"/>
  <c r="I3"/>
  <c r="I8"/>
  <c r="I11"/>
  <c r="I16"/>
  <c r="I20"/>
  <c r="I22"/>
  <c r="I18"/>
  <c r="I37"/>
  <c r="H3"/>
  <c r="H8"/>
  <c r="H11"/>
  <c r="H16"/>
  <c r="H14"/>
  <c r="H20"/>
  <c r="H22"/>
  <c r="H18"/>
  <c r="H37"/>
  <c r="G18"/>
  <c r="G3"/>
  <c r="G8"/>
  <c r="G16"/>
  <c r="G14"/>
  <c r="G22"/>
  <c r="G37"/>
  <c r="F3"/>
  <c r="F8"/>
  <c r="F16"/>
  <c r="F18"/>
  <c r="F37"/>
  <c r="E16"/>
  <c r="E37"/>
  <c r="D37"/>
  <c r="C37"/>
  <c r="B37"/>
  <c r="K36"/>
  <c r="J36"/>
  <c r="I36"/>
  <c r="H36"/>
  <c r="G36"/>
  <c r="F36"/>
  <c r="E36"/>
  <c r="D36"/>
  <c r="C36"/>
  <c r="B36"/>
</calcChain>
</file>

<file path=xl/comments1.xml><?xml version="1.0" encoding="utf-8"?>
<comments xmlns="http://schemas.openxmlformats.org/spreadsheetml/2006/main">
  <authors>
    <author>LR</author>
    <author>Dwayne Winseck</author>
  </authors>
  <commentList>
    <comment ref="F3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BCE Annual Report, 2000, p.20</t>
        </r>
      </text>
    </comment>
    <comment ref="G3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BCE Annual Report, 2004, p.56</t>
        </r>
      </text>
    </comment>
    <comment ref="H3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BCE Annual Report, 2010, pp.46-52</t>
        </r>
      </text>
    </comment>
    <comment ref="I3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BCE Annual Report, 2010, pp.46-52</t>
        </r>
      </text>
    </comment>
    <comment ref="J3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BCE Annual Report, 2012, pp. 43-48</t>
        </r>
      </text>
    </comment>
    <comment ref="K3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BCE Annual Report 2012, pp. 43-48
</t>
        </r>
      </text>
    </comment>
    <comment ref="F8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Telus Annual Report 2001, p.40</t>
        </r>
      </text>
    </comment>
    <comment ref="G8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Telus Annual Report, Financial Review, 2004, p.22</t>
        </r>
      </text>
    </comment>
    <comment ref="H8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Telus Annual Report Financial Review, 2008, p. 34</t>
        </r>
      </text>
    </comment>
    <comment ref="I8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Telus Annual Report 2010, p. 62</t>
        </r>
      </text>
    </comment>
    <comment ref="J8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Telus Annual Report 2012, p. 66</t>
        </r>
      </text>
    </comment>
    <comment ref="K8" authorId="1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Telus Annual Report 2012, p. 66.
</t>
        </r>
      </text>
    </comment>
    <comment ref="I11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MTS Allstream Annual Report 2010, p. 2. Includes all revenues except wireless, IPTV and Internet Access.</t>
        </r>
      </text>
    </comment>
    <comment ref="K11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MTS Allstream Annual Report 2012, pp. 19-21. Includes all revenues except wireless, IPTV and Internet Access. </t>
        </r>
      </text>
    </comment>
    <comment ref="K12" authorId="1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 Estimate based on division of non-programming services between Internet access and telephone services, with the figure for the latter being the residual after subtracting internet revenues from the total non-programming services revenues identified in the CRTC's 2012 Annual Aggregate Report for Shaw.
</t>
        </r>
      </text>
    </comment>
    <comment ref="H13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Rogers Annual Report 2009, p.31-32. 13% of Cable revenues (3809) goes to home phone</t>
        </r>
      </text>
    </comment>
    <comment ref="I13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Rogers Annual Report 2012, p. 39.</t>
        </r>
      </text>
    </comment>
    <comment ref="J13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 Rogers Annual Report 2012, p. 39.
</t>
        </r>
      </text>
    </comment>
    <comment ref="K13" authorId="1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Rogers Annual Report 2012, p. 39.
</t>
        </r>
      </text>
    </comment>
    <comment ref="K14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Management Discussion and Analysis, 2012, p. 11. http://www.quebecor.com/sites/default/files/2012Q4/MDA_QI_Q4_2012Ang_FINAL.pdf</t>
        </r>
      </text>
    </comment>
    <comment ref="E16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SaskTel Annual Report 1996, p. 34.</t>
        </r>
      </text>
    </comment>
    <comment ref="F16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SaskTel Annual Report 2000, p. 17. Local and Long Distance Only.</t>
        </r>
      </text>
    </comment>
    <comment ref="G16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SaskTel, Annual Report 2004, p. 22. Local and long distance revenues only.</t>
        </r>
      </text>
    </comment>
    <comment ref="H16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SaskTel Annual Report 2008, p. 36. Local and Long Distance revenues only.</t>
        </r>
      </text>
    </comment>
    <comment ref="I16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SaskTel Annual Report 2010, p. 30.</t>
        </r>
      </text>
    </comment>
    <comment ref="J16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Sasktel Annual Report 2012, p. 30.</t>
        </r>
      </text>
    </comment>
    <comment ref="K16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Sasktel Annual Report 2012, p. 30.</t>
        </r>
      </text>
    </comment>
    <comment ref="H17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Cogeco Annual Report 2009, p.89 Telephony Service Customer in Canada: 281,608</t>
        </r>
      </text>
    </comment>
    <comment ref="I17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Cogeco Annual Report 2010, p.81 Telephony Service Customers in Canada: 357,597</t>
        </r>
      </text>
    </comment>
    <comment ref="J17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Cogeco Annual Report 2011, p.42 Telephony service customers in Canada: 418,270</t>
        </r>
      </text>
    </comment>
    <comment ref="K17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Cogeco Annual Report 2012, p. 29 indicates 471,484 subscribers at year end. Multiplied by ARPU of $37 from Rogers Annual Report 2012, p. 29. </t>
        </r>
      </text>
    </comment>
    <comment ref="F18" authorId="1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Primus Annual Report 2000, para. 18. Revenues for telecom and internet access split 83.3/16.7 based on ratio identified in later Primus financial statements.
</t>
        </r>
      </text>
    </comment>
    <comment ref="G18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Primus Annual Report 2004, p. 36. Revenues for telecom and internet access split 83.3/16.7 based on ratio identified in later Primus financial statements.</t>
        </r>
      </text>
    </comment>
    <comment ref="H18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Primus Annual Report 2008, p. 51. Revenues for telecom and internet access split 83.3/16.7 based on ratio identified in later Primus financial statements.</t>
        </r>
      </text>
    </comment>
    <comment ref="I18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Primus Annual Report 2008, p. 61. Revenues for telecom and internet access split 83.3/16.7 based on ratio identified in later Primus financial statements.</t>
        </r>
      </text>
    </comment>
    <comment ref="J18" authorId="1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>Primus Group Int'l (2012). Presentation to Jefferies 2012 Global TMT Conference, pp. 4-6 for 2010 and 2011, w/ same break down of quarterly data used to determine segmented revenues on an annual basis.</t>
        </r>
      </text>
    </comment>
    <comment ref="K18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 Primus Form 8-K Report May 2012, p. 6. Quarterly revenue figures used to estimate annual revenues. Revenues apportioned between telecom and ISP on same basis as 2010 and 2011. 
</t>
        </r>
      </text>
    </comment>
    <comment ref="K20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Estimate based on division of non-programming services between Internet access and telephone services, with the figure for the latter being the residual after subtracting internet revenues from the total non-programming services revenues identified in the CRTC's 2012 Annual Aggregate Report for Bragg. </t>
        </r>
      </text>
    </comment>
    <comment ref="H22" authorId="1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Access Communications Annual Report, 2009, p. 31. Telecoms revenues split 66.4/33.6 between ISPs and telephone service, respectively.
</t>
        </r>
      </text>
    </comment>
    <comment ref="I22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 Access Communications Annual Report 2010, p. 30, with 63.3% of telecoms revenues allocated to ISP and rest to telephone.
</t>
        </r>
      </text>
    </comment>
    <comment ref="J22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Access Communications Annual Report 2012, p. 20. Telecoms revenues split 66.4/33.6 between ISPs and telephone service, respectively.</t>
        </r>
      </text>
    </comment>
    <comment ref="K22" authorId="1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Access Communications Annual Report 2012, p. 20. Telecoms revenues split 66.4/33.6 between ISPs and telephone service, respectively.
</t>
        </r>
      </text>
    </comment>
    <comment ref="G35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Communications Monitoring Report, 2008, p. 183</t>
        </r>
      </text>
    </comment>
    <comment ref="H35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Communications Monitoring Report 2011, p. 18; Wireline Rev 24.2, exclude ISP Rev (6.2) from CRTC Communications Monitoring Report 2009, p.217 </t>
        </r>
      </text>
    </comment>
    <comment ref="I35" authorId="0">
      <text>
        <r>
          <rPr>
            <b/>
            <sz val="9"/>
            <color indexed="81"/>
            <rFont val="Calibri"/>
            <family val="2"/>
          </rPr>
          <t>LR:
CRTC Communications Monitoring Report 2011, p. 18; Wireline Rev 23.7, exclude ISP Rev (P.137) 6.8</t>
        </r>
      </text>
    </comment>
    <comment ref="J35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2011</t>
        </r>
      </text>
    </comment>
    <comment ref="K35" authorId="1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CRTC 2013 CMR, p. 120.</t>
        </r>
      </text>
    </comment>
  </commentList>
</comments>
</file>

<file path=xl/comments2.xml><?xml version="1.0" encoding="utf-8"?>
<comments xmlns="http://schemas.openxmlformats.org/spreadsheetml/2006/main">
  <authors>
    <author>Dwayne Winseck</author>
  </authors>
  <commentList>
    <comment ref="K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BCE Annual Report 2012, p. 47. </t>
        </r>
      </text>
    </comment>
    <comment ref="K8" authorId="0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Telus Annual Report 2012, p. 66. Includes: voice local and long distance + data service and equipment, but with Optik TV and HSIA revenues substracted from latter category. 
</t>
        </r>
      </text>
    </comment>
    <comment ref="K11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MTS Allstream Annual Report 2012, pp. 19-21. Includes all revenues except wireless, IPTV and Internet Access. </t>
        </r>
      </text>
    </comment>
    <comment ref="K12" authorId="0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 Estimate based on division of non-programming services between Internet access and telephone services, with the figure for the latter being the residual after subtracting internet revenues from the total non-programming services revenues identified in the CRTC's 2012 Annual Aggregate Report for Shaw.
</t>
        </r>
      </text>
    </comment>
    <comment ref="K13" authorId="0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Rogers Annual Report 2012, p. 39.
</t>
        </r>
      </text>
    </comment>
    <comment ref="K1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Management Discussion and Analysis, 2012, p. 11. http://www.quebecor.com/sites/default/files/2012Q4/MDA_QI_Q4_2012Ang_FINAL.pdf</t>
        </r>
      </text>
    </comment>
    <comment ref="K16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Sasktel Annual Report 2012, p. 30.</t>
        </r>
      </text>
    </comment>
    <comment ref="K1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Cogeco Annual Report 2012, p. 29 indicates 471,484 subscribers at year end. Multiplied by ARPU of $37 from Rogers Annual Report 2012, p. 29. </t>
        </r>
      </text>
    </comment>
    <comment ref="K18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 Primus Form 8-K Report May 2012, p. 6. Quarterly revenue figures used to estimate annual revenues. Revenues apportioned between telecom and ISP on same basis as 2010 and 2011. 
</t>
        </r>
      </text>
    </comment>
    <comment ref="K2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Estimate based on division of non-programming services between Internet access and telephone services, with the figure for the latter being the residual after subtracting internet revenues from the total non-programming services revenues identified in the CRTC's 2012 Annual Aggregate Report for Bragg. </t>
        </r>
      </text>
    </comment>
    <comment ref="K22" authorId="0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Access Communications Annual Report 2012, p. 20. Telecoms revenues split 66.4/33.6 between ISPs and telephone service, respectively.
</t>
        </r>
      </text>
    </comment>
    <comment ref="K35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CRTC 2013 CMR, p. 120.</t>
        </r>
      </text>
    </comment>
  </commentList>
</comments>
</file>

<file path=xl/sharedStrings.xml><?xml version="1.0" encoding="utf-8"?>
<sst xmlns="http://schemas.openxmlformats.org/spreadsheetml/2006/main" count="106" uniqueCount="59">
  <si>
    <t>Bell  (2)</t>
    <phoneticPr fontId="2" type="noConversion"/>
  </si>
  <si>
    <t xml:space="preserve">  BCTel (4)</t>
    <phoneticPr fontId="2" type="noConversion"/>
  </si>
  <si>
    <t xml:space="preserve">  AGT</t>
    <phoneticPr fontId="2" type="noConversion"/>
  </si>
  <si>
    <t xml:space="preserve">Quebecor/Videotron </t>
    <phoneticPr fontId="2" type="noConversion"/>
  </si>
  <si>
    <t>0.3 Quebecor</t>
  </si>
  <si>
    <t xml:space="preserve">Rogers </t>
    <phoneticPr fontId="2" type="noConversion"/>
  </si>
  <si>
    <t>360 Networks</t>
    <phoneticPr fontId="2" type="noConversion"/>
  </si>
  <si>
    <t>GT Telecom (2000)</t>
    <phoneticPr fontId="2" type="noConversion"/>
  </si>
  <si>
    <t>Wired Telecommunications Ownership Groups, Market Shares (based on Revenue), and Concentration Levels, 1984-2012 (1)</t>
    <phoneticPr fontId="2" type="noConversion"/>
  </si>
  <si>
    <t>Bell  (2)</t>
    <phoneticPr fontId="2" type="noConversion"/>
  </si>
  <si>
    <t xml:space="preserve">  Mar. T&amp;T</t>
  </si>
  <si>
    <t xml:space="preserve">Alliant </t>
    <phoneticPr fontId="2" type="noConversion"/>
  </si>
  <si>
    <t xml:space="preserve">  NB Tel</t>
  </si>
  <si>
    <t>Alliant</t>
  </si>
  <si>
    <t xml:space="preserve">  New Tel</t>
  </si>
  <si>
    <t xml:space="preserve">  Island Tel</t>
  </si>
  <si>
    <t>Telus (3)</t>
    <phoneticPr fontId="2" type="noConversion"/>
  </si>
  <si>
    <t xml:space="preserve">  BCTel (4)</t>
    <phoneticPr fontId="2" type="noConversion"/>
  </si>
  <si>
    <t>Telus</t>
  </si>
  <si>
    <t xml:space="preserve">  AGT</t>
    <phoneticPr fontId="2" type="noConversion"/>
  </si>
  <si>
    <t>MTS Allstream</t>
  </si>
  <si>
    <t>Shaw</t>
  </si>
  <si>
    <t>Rogers</t>
  </si>
  <si>
    <t xml:space="preserve">Quebecor/Videotron </t>
    <phoneticPr fontId="2" type="noConversion"/>
  </si>
  <si>
    <t xml:space="preserve">  Videotron</t>
    <phoneticPr fontId="2" type="noConversion"/>
  </si>
  <si>
    <t>Quebecor (2000)</t>
  </si>
  <si>
    <t>SaskTel</t>
  </si>
  <si>
    <t>Cogeco</t>
  </si>
  <si>
    <t>Primus (5)</t>
    <phoneticPr fontId="2" type="noConversion"/>
  </si>
  <si>
    <t xml:space="preserve">  London Telecom</t>
  </si>
  <si>
    <t>Primus (1999)</t>
  </si>
  <si>
    <t>Bragg/East-link (6)</t>
    <phoneticPr fontId="2" type="noConversion"/>
  </si>
  <si>
    <t xml:space="preserve">  AmTel </t>
    <phoneticPr fontId="2" type="noConversion"/>
  </si>
  <si>
    <t>Bragg</t>
  </si>
  <si>
    <t xml:space="preserve"> Access Comm Cooperative</t>
  </si>
  <si>
    <t>Small ILECS (7)</t>
    <phoneticPr fontId="2" type="noConversion"/>
  </si>
  <si>
    <t>AT&amp;T (8)</t>
    <phoneticPr fontId="2" type="noConversion"/>
  </si>
  <si>
    <t>MTS</t>
  </si>
  <si>
    <t>Call-Net (Sprint)(9)</t>
    <phoneticPr fontId="2" type="noConversion"/>
  </si>
  <si>
    <t>Rogers (2004)</t>
  </si>
  <si>
    <t>360Networks</t>
    <phoneticPr fontId="2" type="noConversion"/>
  </si>
  <si>
    <t>Bell</t>
  </si>
  <si>
    <t>Group Telecom (10)</t>
    <phoneticPr fontId="2" type="noConversion"/>
  </si>
  <si>
    <t>360Networks</t>
  </si>
  <si>
    <t>FibreLink</t>
  </si>
  <si>
    <t>GT Telecom (2000)</t>
  </si>
  <si>
    <t>Axxent (OCI Comm)(11)</t>
    <phoneticPr fontId="2" type="noConversion"/>
  </si>
  <si>
    <t>Telus (2002)</t>
  </si>
  <si>
    <t>Cannect</t>
    <phoneticPr fontId="2" type="noConversion"/>
  </si>
  <si>
    <t>Futureway/FCI Broadband</t>
  </si>
  <si>
    <t>Rogers (2007)</t>
  </si>
  <si>
    <t>Vonage</t>
  </si>
  <si>
    <t>Cyberus (VOIP)</t>
  </si>
  <si>
    <t>Skype</t>
  </si>
  <si>
    <t>Total $</t>
  </si>
  <si>
    <t>C4</t>
  </si>
  <si>
    <t>HHI</t>
  </si>
  <si>
    <t>See Notes and Sources Appendix.</t>
    <phoneticPr fontId="2" type="noConversion"/>
  </si>
  <si>
    <t>Wireline Telecommunications Ownership Groups, Revenue ($mill) and Concentration Levels, 1984-2012 (1)</t>
    <phoneticPr fontId="2" type="noConversion"/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</si>
</sst>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3" formatCode="_(* #,##0.00_);_(* \(#,##0.00\);_(* &quot;-&quot;??_);_(@_)"/>
    <numFmt numFmtId="164" formatCode="0.0"/>
    <numFmt numFmtId="165" formatCode="#,##0.0"/>
    <numFmt numFmtId="167" formatCode="_(* #,##0_);_(* \(#,##0\);_(* &quot;-&quot;??_);_(@_)"/>
    <numFmt numFmtId="169" formatCode="0.0"/>
    <numFmt numFmtId="170" formatCode="#,##0.0"/>
  </numFmts>
  <fonts count="23"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8"/>
      <name val="Verdana"/>
    </font>
    <font>
      <sz val="14"/>
      <color indexed="8"/>
      <name val="Calibri"/>
      <family val="2"/>
    </font>
    <font>
      <sz val="12"/>
      <color indexed="8"/>
      <name val="Cambria"/>
    </font>
    <font>
      <sz val="12"/>
      <name val="Cambria"/>
    </font>
    <font>
      <sz val="12"/>
      <name val="Calibri"/>
    </font>
    <font>
      <sz val="12"/>
      <color indexed="16"/>
      <name val="Calibri"/>
      <family val="2"/>
    </font>
    <font>
      <sz val="12"/>
      <color indexed="10"/>
      <name val="Calibri"/>
      <family val="2"/>
    </font>
    <font>
      <sz val="13"/>
      <color indexed="63"/>
      <name val="Trebuchet MS"/>
    </font>
    <font>
      <sz val="12"/>
      <color indexed="8"/>
      <name val="Verdana"/>
    </font>
    <font>
      <sz val="12"/>
      <name val="ArialMT"/>
    </font>
    <font>
      <b/>
      <sz val="11"/>
      <color indexed="63"/>
      <name val="Helvetica"/>
    </font>
    <font>
      <b/>
      <i/>
      <sz val="12"/>
      <color indexed="8"/>
      <name val="Cambria"/>
    </font>
    <font>
      <b/>
      <i/>
      <sz val="12"/>
      <color indexed="8"/>
      <name val="Calibri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2"/>
      <name val="Calibri"/>
    </font>
    <font>
      <sz val="10"/>
      <name val="Cambria"/>
    </font>
    <font>
      <sz val="10"/>
      <name val="Calibri"/>
    </font>
    <font>
      <sz val="10"/>
      <name val="ArialMT"/>
    </font>
    <font>
      <b/>
      <i/>
      <sz val="12"/>
      <name val="Calibri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7" fillId="0" borderId="0" applyNumberFormat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5" fillId="0" borderId="0" xfId="0" applyFont="1" applyAlignment="1">
      <alignment horizontal="right"/>
    </xf>
    <xf numFmtId="3" fontId="5" fillId="0" borderId="0" xfId="0" applyNumberFormat="1" applyFont="1"/>
    <xf numFmtId="165" fontId="5" fillId="0" borderId="0" xfId="0" applyNumberFormat="1" applyFont="1"/>
    <xf numFmtId="0" fontId="0" fillId="0" borderId="0" xfId="0" applyFont="1" applyFill="1" applyAlignment="1">
      <alignment horizontal="right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164" fontId="6" fillId="0" borderId="0" xfId="0" applyNumberFormat="1" applyFont="1"/>
    <xf numFmtId="164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0" fontId="6" fillId="0" borderId="0" xfId="0" applyFont="1" applyFill="1"/>
    <xf numFmtId="164" fontId="5" fillId="0" borderId="0" xfId="0" applyNumberFormat="1" applyFont="1" applyFill="1" applyAlignment="1">
      <alignment horizontal="right" vertical="center"/>
    </xf>
    <xf numFmtId="165" fontId="6" fillId="0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164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0" fontId="7" fillId="0" borderId="0" xfId="2" applyFill="1"/>
    <xf numFmtId="0" fontId="8" fillId="0" borderId="0" xfId="0" applyFont="1"/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left" indent="1"/>
    </xf>
    <xf numFmtId="3" fontId="0" fillId="0" borderId="0" xfId="0" applyNumberFormat="1" applyFont="1" applyAlignment="1">
      <alignment horizontal="right"/>
    </xf>
    <xf numFmtId="167" fontId="5" fillId="0" borderId="0" xfId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" fontId="12" fillId="0" borderId="0" xfId="0" applyNumberFormat="1" applyFont="1"/>
    <xf numFmtId="164" fontId="13" fillId="0" borderId="0" xfId="0" applyNumberFormat="1" applyFont="1" applyAlignment="1">
      <alignment horizontal="right"/>
    </xf>
    <xf numFmtId="164" fontId="0" fillId="0" borderId="0" xfId="0" applyNumberFormat="1" applyFont="1"/>
    <xf numFmtId="0" fontId="14" fillId="0" borderId="0" xfId="0" applyFont="1" applyAlignment="1">
      <alignment horizontal="right"/>
    </xf>
    <xf numFmtId="3" fontId="0" fillId="0" borderId="0" xfId="0" applyNumberFormat="1" applyFont="1"/>
    <xf numFmtId="169" fontId="17" fillId="0" borderId="0" xfId="0" applyNumberFormat="1" applyFont="1"/>
    <xf numFmtId="169" fontId="6" fillId="0" borderId="0" xfId="0" applyNumberFormat="1" applyFont="1"/>
    <xf numFmtId="0" fontId="6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169" fontId="6" fillId="0" borderId="0" xfId="0" applyNumberFormat="1" applyFont="1" applyAlignment="1">
      <alignment horizontal="right"/>
    </xf>
    <xf numFmtId="169" fontId="6" fillId="0" borderId="0" xfId="0" applyNumberFormat="1" applyFont="1" applyFill="1"/>
    <xf numFmtId="0" fontId="18" fillId="0" borderId="0" xfId="0" applyFont="1"/>
    <xf numFmtId="0" fontId="19" fillId="0" borderId="0" xfId="0" applyFont="1"/>
    <xf numFmtId="170" fontId="6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169" fontId="6" fillId="0" borderId="0" xfId="0" applyNumberFormat="1" applyFont="1" applyFill="1" applyAlignment="1">
      <alignment horizontal="right"/>
    </xf>
    <xf numFmtId="0" fontId="20" fillId="0" borderId="0" xfId="0" applyFont="1" applyAlignment="1">
      <alignment horizontal="left" indent="1"/>
    </xf>
    <xf numFmtId="0" fontId="21" fillId="0" borderId="0" xfId="0" applyFont="1" applyAlignment="1">
      <alignment horizontal="right"/>
    </xf>
    <xf numFmtId="169" fontId="17" fillId="0" borderId="0" xfId="0" applyNumberFormat="1" applyFont="1" applyAlignment="1">
      <alignment horizontal="right"/>
    </xf>
    <xf numFmtId="169" fontId="22" fillId="0" borderId="0" xfId="0" applyNumberFormat="1" applyFont="1"/>
    <xf numFmtId="3" fontId="17" fillId="0" borderId="0" xfId="0" applyNumberFormat="1" applyFont="1" applyAlignment="1">
      <alignment horizontal="right"/>
    </xf>
    <xf numFmtId="3" fontId="17" fillId="0" borderId="0" xfId="0" applyNumberFormat="1" applyFont="1"/>
    <xf numFmtId="0" fontId="17" fillId="0" borderId="0" xfId="0" applyFont="1"/>
    <xf numFmtId="3" fontId="6" fillId="0" borderId="0" xfId="0" applyNumberFormat="1" applyFont="1"/>
  </cellXfs>
  <cellStyles count="3">
    <cellStyle name="Bad" xfId="2"/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F39"/>
  <sheetViews>
    <sheetView tabSelected="1" workbookViewId="0">
      <selection activeCell="N41" sqref="N41"/>
    </sheetView>
  </sheetViews>
  <sheetFormatPr baseColWidth="10" defaultColWidth="8.33203125" defaultRowHeight="15"/>
  <cols>
    <col min="1" max="1" width="23.33203125" customWidth="1"/>
    <col min="6" max="6" width="11.83203125" customWidth="1"/>
    <col min="7" max="7" width="15.83203125" customWidth="1"/>
    <col min="8" max="8" width="11.83203125" customWidth="1"/>
    <col min="14" max="14" width="10.1640625" customWidth="1"/>
  </cols>
  <sheetData>
    <row r="1" spans="1:32" s="2" customFormat="1" ht="18">
      <c r="A1" s="1" t="s">
        <v>58</v>
      </c>
    </row>
    <row r="2" spans="1:32" s="5" customFormat="1">
      <c r="A2" s="3"/>
      <c r="B2" s="4">
        <v>1984</v>
      </c>
      <c r="C2" s="4">
        <v>1988</v>
      </c>
      <c r="D2" s="4">
        <v>1992</v>
      </c>
      <c r="E2" s="4">
        <v>1996</v>
      </c>
      <c r="F2" s="4">
        <v>2000</v>
      </c>
      <c r="G2" s="4">
        <v>2004</v>
      </c>
      <c r="H2" s="4">
        <v>2008</v>
      </c>
      <c r="I2" s="4">
        <v>2010</v>
      </c>
      <c r="J2" s="4">
        <v>2011</v>
      </c>
      <c r="K2" s="4">
        <v>2012</v>
      </c>
      <c r="L2" s="4"/>
      <c r="M2" s="4"/>
      <c r="N2" s="4"/>
      <c r="O2" s="4"/>
      <c r="P2" s="4"/>
      <c r="W2" s="6"/>
      <c r="X2" s="6"/>
      <c r="Y2" s="6"/>
      <c r="Z2" s="6"/>
      <c r="AA2" s="6"/>
      <c r="AB2" s="6"/>
      <c r="AC2" s="6"/>
    </row>
    <row r="3" spans="1:32" s="15" customFormat="1">
      <c r="A3" s="7" t="s">
        <v>9</v>
      </c>
      <c r="B3" s="8">
        <v>8874.7000000000007</v>
      </c>
      <c r="C3" s="8">
        <v>9017.9</v>
      </c>
      <c r="D3" s="8">
        <v>9161</v>
      </c>
      <c r="E3" s="8">
        <v>9851</v>
      </c>
      <c r="F3" s="9">
        <v>11378.5</v>
      </c>
      <c r="G3" s="9">
        <v>10501.6</v>
      </c>
      <c r="H3" s="10">
        <v>9297.6</v>
      </c>
      <c r="I3" s="10">
        <v>8829.2000000000007</v>
      </c>
      <c r="J3" s="10">
        <v>8344</v>
      </c>
      <c r="K3" s="10">
        <v>7779.6</v>
      </c>
      <c r="L3" s="11"/>
      <c r="M3" s="11"/>
      <c r="N3" s="7"/>
      <c r="O3" s="12"/>
      <c r="P3" s="13"/>
      <c r="Q3" s="14"/>
      <c r="W3" s="16"/>
      <c r="X3" s="16"/>
      <c r="Y3" s="16"/>
      <c r="Z3" s="16"/>
      <c r="AA3" s="16"/>
      <c r="AB3" s="16"/>
      <c r="AC3" s="17"/>
      <c r="AD3" s="17"/>
      <c r="AE3" s="17"/>
      <c r="AF3" s="17"/>
    </row>
    <row r="4" spans="1:32" s="15" customFormat="1">
      <c r="A4" s="7" t="s">
        <v>10</v>
      </c>
      <c r="B4" s="8">
        <v>282.2</v>
      </c>
      <c r="C4" s="8">
        <v>385.1</v>
      </c>
      <c r="D4" s="8">
        <v>543.29999999999995</v>
      </c>
      <c r="E4" s="8">
        <v>595</v>
      </c>
      <c r="F4" s="8" t="s">
        <v>11</v>
      </c>
      <c r="G4" s="8"/>
      <c r="H4" s="8"/>
      <c r="I4" s="8"/>
      <c r="J4" s="18"/>
      <c r="K4" s="19"/>
      <c r="O4" s="16"/>
      <c r="P4" s="17"/>
      <c r="Q4" s="17"/>
      <c r="R4" s="17"/>
      <c r="U4" s="17"/>
      <c r="W4" s="17"/>
      <c r="X4" s="17"/>
      <c r="Y4" s="17"/>
      <c r="Z4" s="17"/>
      <c r="AA4" s="17"/>
      <c r="AB4" s="17"/>
      <c r="AC4" s="17"/>
    </row>
    <row r="5" spans="1:32" s="15" customFormat="1">
      <c r="A5" s="7" t="s">
        <v>12</v>
      </c>
      <c r="B5" s="8">
        <v>229.6</v>
      </c>
      <c r="C5" s="8">
        <v>278.10000000000002</v>
      </c>
      <c r="D5" s="8">
        <v>349.1</v>
      </c>
      <c r="E5" s="8">
        <v>446.8</v>
      </c>
      <c r="F5" s="8" t="s">
        <v>13</v>
      </c>
      <c r="G5" s="8"/>
      <c r="H5" s="8"/>
      <c r="I5" s="8"/>
      <c r="J5" s="18"/>
      <c r="K5" s="19"/>
      <c r="O5" s="16"/>
      <c r="P5" s="17"/>
      <c r="Q5" s="17"/>
      <c r="R5" s="17"/>
      <c r="U5" s="17"/>
      <c r="W5" s="17"/>
      <c r="X5" s="17"/>
      <c r="Y5" s="17"/>
      <c r="Z5" s="17"/>
      <c r="AA5" s="17"/>
      <c r="AB5" s="17"/>
      <c r="AC5" s="17"/>
    </row>
    <row r="6" spans="1:32" s="15" customFormat="1">
      <c r="A6" s="7" t="s">
        <v>14</v>
      </c>
      <c r="B6" s="8">
        <v>127</v>
      </c>
      <c r="C6" s="8">
        <v>192.5</v>
      </c>
      <c r="D6" s="8">
        <v>272.7</v>
      </c>
      <c r="E6" s="8">
        <v>317.8</v>
      </c>
      <c r="F6" s="8" t="s">
        <v>13</v>
      </c>
      <c r="G6" s="8"/>
      <c r="H6" s="8"/>
      <c r="I6" s="8"/>
      <c r="J6" s="18"/>
      <c r="K6" s="19"/>
      <c r="O6" s="16"/>
      <c r="P6" s="17"/>
      <c r="Q6" s="17"/>
      <c r="R6" s="17"/>
      <c r="U6" s="17"/>
      <c r="W6" s="17"/>
      <c r="X6" s="17"/>
      <c r="Y6" s="17"/>
      <c r="Z6" s="17"/>
    </row>
    <row r="7" spans="1:32" s="15" customFormat="1">
      <c r="A7" s="7" t="s">
        <v>15</v>
      </c>
      <c r="B7" s="8">
        <v>13.3</v>
      </c>
      <c r="C7" s="8">
        <v>18.100000000000001</v>
      </c>
      <c r="D7" s="8">
        <v>25.5</v>
      </c>
      <c r="E7" s="8">
        <v>27.9</v>
      </c>
      <c r="F7" s="8" t="s">
        <v>13</v>
      </c>
      <c r="G7" s="8"/>
      <c r="H7" s="8"/>
      <c r="I7" s="8"/>
      <c r="J7" s="18"/>
      <c r="K7" s="19"/>
      <c r="O7" s="17"/>
      <c r="P7" s="17"/>
      <c r="Q7" s="17"/>
      <c r="R7" s="17"/>
      <c r="U7" s="17"/>
    </row>
    <row r="8" spans="1:32" s="15" customFormat="1">
      <c r="A8" s="7" t="s">
        <v>16</v>
      </c>
      <c r="B8" s="8"/>
      <c r="C8" s="8"/>
      <c r="D8" s="8">
        <v>1268.2</v>
      </c>
      <c r="E8" s="8">
        <v>1677.2</v>
      </c>
      <c r="F8" s="20">
        <v>4452.8999999999996</v>
      </c>
      <c r="G8" s="20">
        <v>4096.8999999999996</v>
      </c>
      <c r="H8" s="20">
        <v>4232.1000000000004</v>
      </c>
      <c r="I8" s="20">
        <v>3805.8</v>
      </c>
      <c r="J8" s="20">
        <v>3768.2</v>
      </c>
      <c r="K8" s="20">
        <v>3743.1</v>
      </c>
      <c r="L8" s="21"/>
      <c r="M8" s="22"/>
      <c r="N8" s="16"/>
    </row>
    <row r="9" spans="1:32" s="15" customFormat="1">
      <c r="A9" s="7" t="s">
        <v>17</v>
      </c>
      <c r="B9" s="8">
        <v>1482.3</v>
      </c>
      <c r="C9" s="8">
        <v>1912</v>
      </c>
      <c r="D9" s="8">
        <v>1977.4</v>
      </c>
      <c r="E9" s="8">
        <v>2449.1</v>
      </c>
      <c r="F9" s="9" t="s">
        <v>18</v>
      </c>
      <c r="G9" s="9"/>
      <c r="H9" s="9"/>
      <c r="I9" s="9"/>
      <c r="J9" s="23"/>
      <c r="K9" s="20"/>
      <c r="L9" s="24"/>
      <c r="M9" s="22"/>
      <c r="N9" s="17"/>
    </row>
    <row r="10" spans="1:32" s="15" customFormat="1">
      <c r="A10" s="7" t="s">
        <v>19</v>
      </c>
      <c r="B10" s="8">
        <v>971.2</v>
      </c>
      <c r="C10" s="8">
        <v>1071.4000000000001</v>
      </c>
      <c r="D10" s="8" t="s">
        <v>18</v>
      </c>
      <c r="E10" s="8"/>
      <c r="F10" s="8"/>
      <c r="G10" s="8"/>
      <c r="H10" s="8"/>
      <c r="I10" s="8"/>
      <c r="J10" s="18"/>
      <c r="K10" s="19"/>
      <c r="L10" s="17"/>
      <c r="N10" s="17"/>
    </row>
    <row r="11" spans="1:32" s="15" customFormat="1">
      <c r="A11" s="7" t="s">
        <v>20</v>
      </c>
      <c r="B11" s="8">
        <v>272.60000000000002</v>
      </c>
      <c r="C11" s="8">
        <v>454.6</v>
      </c>
      <c r="D11" s="8">
        <v>506.3</v>
      </c>
      <c r="E11" s="8">
        <v>528.6</v>
      </c>
      <c r="F11" s="8">
        <v>693.4</v>
      </c>
      <c r="G11" s="8">
        <v>1213.2</v>
      </c>
      <c r="H11" s="8">
        <v>1450.7</v>
      </c>
      <c r="I11" s="8">
        <v>1301</v>
      </c>
      <c r="J11" s="18">
        <v>1243.3</v>
      </c>
      <c r="K11" s="19">
        <v>1153.3999999999999</v>
      </c>
      <c r="L11" s="19"/>
      <c r="M11" s="11"/>
      <c r="N11" s="11"/>
      <c r="O11" s="11"/>
      <c r="P11" s="6"/>
      <c r="R11" s="16"/>
    </row>
    <row r="12" spans="1:32" s="5" customFormat="1">
      <c r="A12" s="3" t="s">
        <v>21</v>
      </c>
      <c r="B12" s="25"/>
      <c r="C12" s="25"/>
      <c r="D12" s="8"/>
      <c r="E12" s="8">
        <v>6.3</v>
      </c>
      <c r="F12" s="8">
        <v>20.8</v>
      </c>
      <c r="G12" s="8">
        <v>43.8</v>
      </c>
      <c r="H12" s="8">
        <v>256.60000000000002</v>
      </c>
      <c r="I12" s="8">
        <v>396</v>
      </c>
      <c r="J12" s="18">
        <v>434.9</v>
      </c>
      <c r="K12" s="15">
        <v>521.30000000000018</v>
      </c>
      <c r="L12" s="15"/>
      <c r="M12" s="26"/>
      <c r="N12" s="26"/>
      <c r="O12" s="6"/>
      <c r="P12" s="6"/>
      <c r="Q12" s="6"/>
      <c r="R12" s="6"/>
      <c r="S12" s="6"/>
      <c r="T12" s="27"/>
      <c r="U12" s="6"/>
      <c r="V12" s="6"/>
      <c r="W12" s="6"/>
      <c r="X12" s="6"/>
      <c r="AA12" s="28"/>
    </row>
    <row r="13" spans="1:32" s="15" customFormat="1">
      <c r="A13" s="7" t="s">
        <v>22</v>
      </c>
      <c r="B13" s="8"/>
      <c r="C13" s="8"/>
      <c r="D13" s="8"/>
      <c r="E13" s="8"/>
      <c r="F13" s="8"/>
      <c r="G13" s="29"/>
      <c r="H13" s="25">
        <v>495.2</v>
      </c>
      <c r="I13" s="8">
        <v>506</v>
      </c>
      <c r="J13" s="18">
        <v>478</v>
      </c>
      <c r="K13" s="19">
        <v>477</v>
      </c>
      <c r="L13" s="19"/>
      <c r="O13"/>
      <c r="P13" s="30"/>
      <c r="S13" s="31"/>
    </row>
    <row r="14" spans="1:32" s="15" customFormat="1" ht="16">
      <c r="A14" s="7" t="s">
        <v>23</v>
      </c>
      <c r="B14" s="8"/>
      <c r="C14" s="8"/>
      <c r="D14" s="8"/>
      <c r="E14" s="8"/>
      <c r="F14" s="8"/>
      <c r="G14" s="8">
        <v>10.6</v>
      </c>
      <c r="H14" s="8">
        <v>368.4</v>
      </c>
      <c r="I14" s="8">
        <v>409.9</v>
      </c>
      <c r="J14" s="18">
        <v>436.7</v>
      </c>
      <c r="K14" s="32">
        <v>454.9</v>
      </c>
      <c r="L14" s="32"/>
      <c r="M14" s="26"/>
      <c r="N14" s="26"/>
      <c r="O14" s="33"/>
      <c r="P14" s="34"/>
      <c r="Q14" s="17"/>
      <c r="R14" s="17"/>
      <c r="S14" s="17"/>
      <c r="T14" s="35"/>
      <c r="U14" s="17"/>
      <c r="V14" s="17"/>
      <c r="W14" s="17"/>
    </row>
    <row r="15" spans="1:32" s="5" customFormat="1">
      <c r="A15" s="3" t="s">
        <v>24</v>
      </c>
      <c r="B15" s="25"/>
      <c r="C15" s="25"/>
      <c r="D15" s="8"/>
      <c r="E15" s="8"/>
      <c r="F15" s="8"/>
      <c r="G15" s="8" t="s">
        <v>25</v>
      </c>
      <c r="H15" s="8"/>
      <c r="I15" s="8"/>
      <c r="J15" s="18"/>
      <c r="K15" s="19"/>
      <c r="L15" s="19"/>
      <c r="M15" s="26"/>
      <c r="N15" s="26"/>
      <c r="O15" s="28"/>
      <c r="P15" s="27"/>
      <c r="Q15" s="27"/>
      <c r="R15" s="6"/>
      <c r="S15" s="6"/>
      <c r="T15" s="6"/>
      <c r="U15" s="36"/>
      <c r="V15" s="36"/>
      <c r="W15" s="36"/>
      <c r="X15" s="28"/>
      <c r="AA15" s="28"/>
    </row>
    <row r="16" spans="1:32" s="15" customFormat="1">
      <c r="A16" s="7" t="s">
        <v>26</v>
      </c>
      <c r="B16" s="8">
        <v>382.7</v>
      </c>
      <c r="C16" s="8">
        <v>513.4</v>
      </c>
      <c r="D16" s="8">
        <v>539.6</v>
      </c>
      <c r="E16" s="8">
        <v>615.5</v>
      </c>
      <c r="F16" s="8">
        <v>468.3</v>
      </c>
      <c r="G16" s="8">
        <v>448</v>
      </c>
      <c r="H16" s="8">
        <v>414.3</v>
      </c>
      <c r="I16" s="8">
        <v>396.2</v>
      </c>
      <c r="J16" s="18">
        <v>338</v>
      </c>
      <c r="K16" s="19">
        <v>336.9</v>
      </c>
      <c r="L16" s="19"/>
      <c r="M16" s="26"/>
      <c r="N16" s="37"/>
      <c r="O16" s="38"/>
      <c r="P16" s="39"/>
      <c r="Q16" s="39"/>
      <c r="R16" s="17"/>
      <c r="S16" s="17"/>
      <c r="T16" s="17"/>
      <c r="U16" s="17"/>
      <c r="V16" s="17"/>
      <c r="W16" s="17"/>
    </row>
    <row r="17" spans="1:26" s="5" customFormat="1">
      <c r="A17" s="3" t="s">
        <v>27</v>
      </c>
      <c r="B17" s="25"/>
      <c r="C17" s="25"/>
      <c r="D17" s="8"/>
      <c r="E17" s="8"/>
      <c r="F17" s="8"/>
      <c r="G17" s="8"/>
      <c r="H17">
        <v>79.2</v>
      </c>
      <c r="I17">
        <v>113.4</v>
      </c>
      <c r="J17">
        <v>210.5</v>
      </c>
      <c r="K17" s="19">
        <v>209.3</v>
      </c>
      <c r="L17" s="19"/>
      <c r="M17" s="26"/>
      <c r="N17" s="17"/>
      <c r="O17" s="28"/>
      <c r="P17" s="6"/>
      <c r="Q17" s="6"/>
      <c r="R17" s="6"/>
      <c r="S17" s="6"/>
      <c r="T17" s="6"/>
      <c r="U17" s="6"/>
      <c r="V17" s="6"/>
      <c r="W17" s="6"/>
      <c r="Z17" s="36"/>
    </row>
    <row r="18" spans="1:26" s="5" customFormat="1">
      <c r="A18" s="3" t="s">
        <v>28</v>
      </c>
      <c r="B18" s="25"/>
      <c r="C18" s="25"/>
      <c r="D18" s="8"/>
      <c r="E18" s="8"/>
      <c r="F18" s="8">
        <v>149.19999999999999</v>
      </c>
      <c r="G18" s="8">
        <v>264.3</v>
      </c>
      <c r="H18" s="8">
        <v>230.2</v>
      </c>
      <c r="I18" s="8">
        <v>198.5</v>
      </c>
      <c r="J18" s="18">
        <v>182.5</v>
      </c>
      <c r="K18" s="32">
        <v>128.80000000000001</v>
      </c>
      <c r="L18" s="17"/>
      <c r="M18" s="17"/>
      <c r="N18" s="17"/>
      <c r="O18" s="6"/>
      <c r="P18" s="27"/>
      <c r="Q18" s="6"/>
      <c r="R18" s="6"/>
    </row>
    <row r="19" spans="1:26" s="5" customFormat="1">
      <c r="A19" s="3" t="s">
        <v>29</v>
      </c>
      <c r="B19" s="25"/>
      <c r="C19" s="25"/>
      <c r="D19" s="8"/>
      <c r="E19" s="8">
        <v>75</v>
      </c>
      <c r="F19" s="8" t="s">
        <v>30</v>
      </c>
      <c r="G19" s="8"/>
      <c r="H19" s="8"/>
      <c r="I19" s="8"/>
      <c r="J19" s="18"/>
      <c r="K19" s="19"/>
      <c r="L19" s="17"/>
      <c r="M19" s="17"/>
      <c r="N19" s="17"/>
      <c r="O19" s="6"/>
      <c r="P19" s="27"/>
      <c r="Q19" s="6"/>
      <c r="R19" s="6"/>
    </row>
    <row r="20" spans="1:26" s="5" customFormat="1">
      <c r="A20" s="3" t="s">
        <v>31</v>
      </c>
      <c r="B20" s="25"/>
      <c r="C20" s="25"/>
      <c r="D20" s="8"/>
      <c r="E20" s="8"/>
      <c r="F20" s="8">
        <v>2.1</v>
      </c>
      <c r="G20" s="8">
        <v>27.4</v>
      </c>
      <c r="H20" s="8">
        <v>56.868000000000002</v>
      </c>
      <c r="I20" s="8">
        <v>99.148139999999998</v>
      </c>
      <c r="J20" s="18">
        <v>97.223286000000002</v>
      </c>
      <c r="K20" s="19">
        <v>109.280862</v>
      </c>
      <c r="L20" s="19"/>
      <c r="M20" s="17"/>
      <c r="N20" s="32"/>
      <c r="O20" s="6"/>
      <c r="P20" s="6"/>
      <c r="Q20" s="6"/>
      <c r="R20" s="6"/>
      <c r="S20" s="6"/>
      <c r="T20" s="6"/>
      <c r="U20" s="6"/>
      <c r="V20" s="6"/>
      <c r="W20" s="6"/>
    </row>
    <row r="21" spans="1:26" s="5" customFormat="1">
      <c r="A21" s="3" t="s">
        <v>32</v>
      </c>
      <c r="B21" s="25"/>
      <c r="C21" s="25"/>
      <c r="D21" s="8"/>
      <c r="E21" s="8"/>
      <c r="F21" s="8"/>
      <c r="G21" s="8"/>
      <c r="H21" s="8" t="s">
        <v>33</v>
      </c>
      <c r="I21" s="8"/>
      <c r="J21" s="18"/>
      <c r="K21" s="19"/>
      <c r="L21" s="19"/>
      <c r="M21" s="17"/>
      <c r="N21" s="17"/>
      <c r="O21" s="6"/>
      <c r="P21" s="6"/>
      <c r="Q21" s="6"/>
      <c r="R21" s="6"/>
      <c r="S21" s="6"/>
      <c r="T21" s="28"/>
      <c r="U21" s="28"/>
      <c r="V21" s="28"/>
      <c r="W21" s="28"/>
    </row>
    <row r="22" spans="1:26" s="5" customFormat="1">
      <c r="A22" s="3" t="s">
        <v>34</v>
      </c>
      <c r="B22" s="25"/>
      <c r="C22" s="25"/>
      <c r="D22" s="8"/>
      <c r="E22" s="8"/>
      <c r="F22" s="8"/>
      <c r="G22" s="8">
        <v>3.7473800000000002</v>
      </c>
      <c r="H22" s="8">
        <v>4.7969999999999997</v>
      </c>
      <c r="I22" s="8">
        <v>6.7</v>
      </c>
      <c r="J22" s="18">
        <v>7.1</v>
      </c>
      <c r="K22" s="32">
        <v>7.9</v>
      </c>
      <c r="L22" s="32"/>
      <c r="M22" s="17"/>
      <c r="N22" s="17"/>
      <c r="O22" s="6"/>
      <c r="P22" s="40"/>
      <c r="Q22" s="6"/>
      <c r="R22" s="6"/>
      <c r="S22" s="6"/>
      <c r="T22" s="6"/>
      <c r="U22" s="6"/>
    </row>
    <row r="23" spans="1:26" s="5" customFormat="1" ht="16">
      <c r="A23" s="3" t="s">
        <v>35</v>
      </c>
      <c r="B23" s="25">
        <v>151.19999999999999</v>
      </c>
      <c r="C23" s="25">
        <v>164.4</v>
      </c>
      <c r="D23" s="8">
        <v>176.4</v>
      </c>
      <c r="E23" s="8">
        <v>214.8</v>
      </c>
      <c r="F23" s="8">
        <v>278.39999999999998</v>
      </c>
      <c r="G23" s="8">
        <v>369</v>
      </c>
      <c r="H23" s="8">
        <v>440</v>
      </c>
      <c r="I23" s="8">
        <v>405.6</v>
      </c>
      <c r="J23" s="18">
        <v>284</v>
      </c>
      <c r="K23" s="32"/>
      <c r="L23" s="32"/>
      <c r="M23" s="26"/>
      <c r="N23" s="26"/>
      <c r="O23" s="33"/>
      <c r="P23" s="34"/>
      <c r="Q23" s="6"/>
      <c r="R23" s="6"/>
      <c r="S23" s="6"/>
    </row>
    <row r="24" spans="1:26" s="5" customFormat="1">
      <c r="A24" s="3" t="s">
        <v>36</v>
      </c>
      <c r="B24" s="25"/>
      <c r="C24" s="25"/>
      <c r="D24" s="8"/>
      <c r="E24" s="8"/>
      <c r="F24" s="8">
        <v>1458.9</v>
      </c>
      <c r="G24" s="8" t="s">
        <v>37</v>
      </c>
      <c r="H24" s="8"/>
      <c r="I24" s="8"/>
      <c r="J24" s="18"/>
      <c r="K24" s="32"/>
      <c r="L24" s="32"/>
      <c r="M24" s="17"/>
      <c r="N24" s="17"/>
      <c r="O24" s="6"/>
      <c r="P24" s="6"/>
      <c r="Q24" s="6"/>
      <c r="R24" s="6"/>
      <c r="S24" s="6"/>
    </row>
    <row r="25" spans="1:26" s="5" customFormat="1">
      <c r="A25" s="3" t="s">
        <v>38</v>
      </c>
      <c r="B25" s="25"/>
      <c r="C25" s="25"/>
      <c r="D25" s="8">
        <v>82.8</v>
      </c>
      <c r="E25" s="8">
        <v>712.6</v>
      </c>
      <c r="F25" s="8">
        <v>758.4</v>
      </c>
      <c r="G25" s="8">
        <v>804.2</v>
      </c>
      <c r="H25" s="8" t="s">
        <v>39</v>
      </c>
      <c r="I25" s="8"/>
      <c r="J25" s="18"/>
      <c r="K25" s="32"/>
      <c r="L25" s="17"/>
      <c r="M25" s="16"/>
      <c r="N25" s="17"/>
      <c r="O25" s="6"/>
      <c r="P25" s="6"/>
      <c r="Q25" s="6"/>
      <c r="R25" s="6"/>
    </row>
    <row r="26" spans="1:26" s="5" customFormat="1">
      <c r="A26" s="3" t="s">
        <v>40</v>
      </c>
      <c r="B26" s="25"/>
      <c r="C26" s="25"/>
      <c r="D26" s="25"/>
      <c r="E26" s="25"/>
      <c r="F26" s="25">
        <v>269</v>
      </c>
      <c r="G26" s="25">
        <v>358.5</v>
      </c>
      <c r="H26" s="25" t="s">
        <v>41</v>
      </c>
      <c r="I26" s="25"/>
      <c r="J26" s="38"/>
      <c r="K26" s="27"/>
      <c r="L26" s="6"/>
      <c r="M26" s="6"/>
      <c r="N26" s="6"/>
      <c r="O26" s="6"/>
      <c r="P26" s="6"/>
      <c r="Q26" s="6"/>
      <c r="R26" s="6"/>
    </row>
    <row r="27" spans="1:26" s="5" customFormat="1">
      <c r="A27" s="3" t="s">
        <v>42</v>
      </c>
      <c r="B27" s="25"/>
      <c r="C27" s="25"/>
      <c r="D27" s="25"/>
      <c r="E27" s="25"/>
      <c r="F27" s="25">
        <v>73.3</v>
      </c>
      <c r="G27" s="25" t="s">
        <v>43</v>
      </c>
      <c r="H27" s="25"/>
      <c r="I27" s="25"/>
      <c r="J27" s="38"/>
      <c r="K27" s="27"/>
      <c r="L27" s="6"/>
      <c r="M27" s="6"/>
      <c r="N27" s="6"/>
      <c r="O27" s="6"/>
      <c r="P27" s="6"/>
      <c r="Q27" s="6"/>
      <c r="R27" s="6"/>
    </row>
    <row r="28" spans="1:26" s="5" customFormat="1">
      <c r="A28" s="3" t="s">
        <v>44</v>
      </c>
      <c r="B28" s="25"/>
      <c r="C28" s="25"/>
      <c r="D28" s="25"/>
      <c r="E28" s="25">
        <v>6.3</v>
      </c>
      <c r="F28" s="25">
        <v>20.8</v>
      </c>
      <c r="G28" s="25" t="s">
        <v>45</v>
      </c>
      <c r="H28" s="25"/>
      <c r="I28" s="25"/>
      <c r="J28" s="38"/>
      <c r="K28" s="27"/>
      <c r="L28" s="6"/>
      <c r="M28" s="6"/>
      <c r="N28" s="6"/>
      <c r="O28" s="6"/>
      <c r="P28" s="6"/>
      <c r="Q28" s="6"/>
      <c r="R28" s="6"/>
    </row>
    <row r="29" spans="1:26" s="5" customFormat="1">
      <c r="A29" s="3" t="s">
        <v>46</v>
      </c>
      <c r="B29" s="25"/>
      <c r="C29" s="25"/>
      <c r="D29" s="25"/>
      <c r="E29" s="25"/>
      <c r="F29" s="25">
        <v>71.5</v>
      </c>
      <c r="G29" s="25" t="s">
        <v>47</v>
      </c>
      <c r="H29" s="25"/>
      <c r="I29" s="25"/>
      <c r="J29" s="38"/>
      <c r="K29" s="27"/>
      <c r="L29" s="6"/>
      <c r="M29" s="6"/>
      <c r="N29" s="6"/>
      <c r="O29" s="6"/>
      <c r="P29" s="6"/>
      <c r="Q29" s="6"/>
      <c r="R29" s="6"/>
    </row>
    <row r="30" spans="1:26" s="5" customFormat="1">
      <c r="A30" s="3" t="s">
        <v>48</v>
      </c>
      <c r="B30" s="41"/>
      <c r="C30" s="41"/>
      <c r="D30" s="41"/>
      <c r="E30" s="41"/>
      <c r="F30" s="25">
        <v>6.7</v>
      </c>
      <c r="G30" s="41"/>
      <c r="H30" s="41"/>
      <c r="I30" s="25"/>
      <c r="J30" s="38"/>
      <c r="K30" s="42"/>
      <c r="L30" s="43"/>
      <c r="M30" s="6"/>
      <c r="N30" s="43"/>
      <c r="O30" s="43"/>
      <c r="P30" s="43"/>
      <c r="Q30" s="6"/>
      <c r="R30" s="6"/>
    </row>
    <row r="31" spans="1:26" s="5" customFormat="1">
      <c r="A31" s="3" t="s">
        <v>49</v>
      </c>
      <c r="B31" s="41"/>
      <c r="C31" s="41"/>
      <c r="D31" s="41"/>
      <c r="E31" s="41"/>
      <c r="F31" s="41"/>
      <c r="G31" s="41"/>
      <c r="H31" s="25" t="s">
        <v>50</v>
      </c>
      <c r="I31" s="25"/>
      <c r="J31" s="38"/>
      <c r="K31" s="42"/>
      <c r="L31" s="43"/>
      <c r="M31" s="43"/>
      <c r="N31" s="43"/>
      <c r="O31" s="43"/>
      <c r="P31" s="6"/>
      <c r="Q31" s="6"/>
      <c r="R31" s="6"/>
    </row>
    <row r="32" spans="1:26" s="5" customFormat="1">
      <c r="A32" s="3" t="s">
        <v>51</v>
      </c>
      <c r="B32" s="25"/>
      <c r="C32" s="25"/>
      <c r="D32" s="25"/>
      <c r="E32" s="25"/>
      <c r="F32" s="25"/>
      <c r="G32" s="25">
        <v>3</v>
      </c>
      <c r="H32" s="25">
        <v>34.700000000000003</v>
      </c>
      <c r="I32" s="25">
        <v>34.700000000000003</v>
      </c>
      <c r="J32" s="38">
        <v>32.799999999999997</v>
      </c>
      <c r="K32" s="27"/>
      <c r="L32" s="6"/>
      <c r="M32" s="6"/>
      <c r="N32" s="6"/>
      <c r="O32" s="6"/>
      <c r="P32" s="6"/>
      <c r="Q32" s="6"/>
      <c r="R32" s="6"/>
    </row>
    <row r="33" spans="1:19" s="5" customFormat="1">
      <c r="A33" s="3" t="s">
        <v>52</v>
      </c>
      <c r="B33" s="25"/>
      <c r="C33" s="25"/>
      <c r="D33" s="25"/>
      <c r="E33" s="25"/>
      <c r="F33" s="25"/>
      <c r="G33" s="25"/>
      <c r="H33" s="25">
        <v>2.2999999999999998</v>
      </c>
      <c r="I33" s="25">
        <v>2.2999999999999998</v>
      </c>
      <c r="J33" s="38">
        <v>1.6</v>
      </c>
      <c r="K33" s="27"/>
      <c r="L33" s="6"/>
      <c r="M33" s="6"/>
      <c r="N33" s="6"/>
      <c r="O33" s="6"/>
      <c r="P33" s="6"/>
      <c r="Q33" s="6"/>
      <c r="R33" s="6"/>
    </row>
    <row r="34" spans="1:19" s="5" customFormat="1">
      <c r="A34" s="3" t="s">
        <v>53</v>
      </c>
      <c r="B34" s="25"/>
      <c r="C34" s="25"/>
      <c r="D34" s="25"/>
      <c r="E34" s="25"/>
      <c r="F34" s="25"/>
      <c r="G34" s="25"/>
      <c r="H34" s="25"/>
      <c r="I34" s="25"/>
      <c r="J34" s="38"/>
      <c r="K34" s="42"/>
      <c r="L34" s="6"/>
      <c r="M34" s="14"/>
      <c r="N34" s="6"/>
      <c r="O34" s="6"/>
      <c r="P34" s="6"/>
      <c r="Q34" s="6"/>
      <c r="R34" s="6"/>
    </row>
    <row r="35" spans="1:19" s="5" customFormat="1">
      <c r="A35" s="3" t="s">
        <v>54</v>
      </c>
      <c r="B35" s="25">
        <v>12787</v>
      </c>
      <c r="C35" s="25">
        <v>14007</v>
      </c>
      <c r="D35" s="25">
        <v>14700</v>
      </c>
      <c r="E35" s="25">
        <v>17900</v>
      </c>
      <c r="F35" s="25">
        <v>21200</v>
      </c>
      <c r="G35" s="25">
        <v>19800</v>
      </c>
      <c r="H35" s="25">
        <v>18000</v>
      </c>
      <c r="I35" s="25">
        <v>16900</v>
      </c>
      <c r="J35" s="38">
        <v>16400</v>
      </c>
      <c r="K35" s="42">
        <v>15900</v>
      </c>
      <c r="L35" s="36"/>
      <c r="M35" s="36"/>
      <c r="N35" s="36"/>
      <c r="O35" s="36"/>
      <c r="P35" s="36"/>
      <c r="Q35" s="36"/>
      <c r="R35" s="44"/>
    </row>
    <row r="36" spans="1:19" s="5" customFormat="1">
      <c r="A36" s="3" t="s">
        <v>55</v>
      </c>
      <c r="B36" s="32">
        <v>90.8</v>
      </c>
      <c r="C36" s="32">
        <v>89.4</v>
      </c>
      <c r="D36" s="32">
        <v>88.1</v>
      </c>
      <c r="E36" s="32">
        <v>82</v>
      </c>
      <c r="F36" s="32">
        <v>85.176415094339617</v>
      </c>
      <c r="G36" s="32">
        <v>84.30406091370557</v>
      </c>
      <c r="H36" s="32">
        <v>86.024444444444455</v>
      </c>
      <c r="I36" s="32">
        <v>84.805917159763339</v>
      </c>
      <c r="J36" s="32">
        <v>84.324390243902442</v>
      </c>
      <c r="K36" s="19">
        <v>83.002515723270406</v>
      </c>
      <c r="L36" s="6"/>
      <c r="M36" s="6"/>
      <c r="N36" s="6"/>
      <c r="O36" s="6"/>
      <c r="P36" s="6"/>
      <c r="Q36" s="6"/>
      <c r="R36" s="6"/>
    </row>
    <row r="37" spans="1:19" s="5" customFormat="1">
      <c r="A37" s="3" t="s">
        <v>56</v>
      </c>
      <c r="B37" s="32">
        <v>5032.6200000000008</v>
      </c>
      <c r="C37" s="32">
        <v>4430.91</v>
      </c>
      <c r="D37" s="32">
        <v>4187.619999999999</v>
      </c>
      <c r="E37" s="32">
        <v>3358.0349088137073</v>
      </c>
      <c r="F37" s="32">
        <v>3403.4750247077263</v>
      </c>
      <c r="G37" s="32">
        <v>3342.116048764462</v>
      </c>
      <c r="H37" s="32">
        <v>3312.802766666669</v>
      </c>
      <c r="I37" s="32">
        <v>3328.7762429921931</v>
      </c>
      <c r="J37" s="19">
        <v>3196.6807335514582</v>
      </c>
      <c r="K37" s="19">
        <v>3036.0914706696699</v>
      </c>
      <c r="M37" s="6"/>
      <c r="N37" s="6"/>
      <c r="O37" s="6"/>
      <c r="P37" s="6"/>
      <c r="Q37" s="6"/>
      <c r="R37" s="6"/>
      <c r="S37" s="6"/>
    </row>
    <row r="39" spans="1:19">
      <c r="A39" t="s">
        <v>57</v>
      </c>
    </row>
  </sheetData>
  <phoneticPr fontId="2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40"/>
  <sheetViews>
    <sheetView workbookViewId="0">
      <selection activeCell="M22" sqref="M22"/>
    </sheetView>
  </sheetViews>
  <sheetFormatPr baseColWidth="10" defaultRowHeight="15"/>
  <cols>
    <col min="1" max="1" width="22" style="15" customWidth="1"/>
    <col min="2" max="5" width="10.83203125" style="15"/>
    <col min="6" max="6" width="12" style="15" customWidth="1"/>
    <col min="7" max="7" width="13.33203125" style="15" customWidth="1"/>
    <col min="8" max="8" width="12" style="15" customWidth="1"/>
    <col min="9" max="16384" width="10.83203125" style="15"/>
  </cols>
  <sheetData>
    <row r="1" spans="1:19">
      <c r="A1" s="45" t="s">
        <v>8</v>
      </c>
      <c r="B1" s="46"/>
      <c r="C1" s="46"/>
      <c r="D1" s="46"/>
      <c r="E1" s="46"/>
      <c r="F1" s="46"/>
      <c r="G1" s="46"/>
      <c r="H1" s="46"/>
      <c r="I1" s="46"/>
      <c r="J1" s="46"/>
    </row>
    <row r="2" spans="1:19">
      <c r="B2" s="47">
        <v>1984</v>
      </c>
      <c r="C2" s="47">
        <v>1988</v>
      </c>
      <c r="D2" s="47">
        <v>1992</v>
      </c>
      <c r="E2" s="47">
        <v>1996</v>
      </c>
      <c r="F2" s="47">
        <v>2000</v>
      </c>
      <c r="G2" s="47">
        <v>2004</v>
      </c>
      <c r="H2" s="47">
        <v>2008</v>
      </c>
      <c r="I2" s="47">
        <v>2010</v>
      </c>
      <c r="J2" s="47">
        <v>2011</v>
      </c>
      <c r="K2" s="15">
        <v>2012</v>
      </c>
      <c r="L2" s="48"/>
      <c r="M2" s="48"/>
      <c r="N2" s="48"/>
      <c r="O2" s="48"/>
      <c r="P2" s="48"/>
      <c r="Q2" s="48"/>
      <c r="R2" s="17"/>
      <c r="S2" s="17"/>
    </row>
    <row r="3" spans="1:19">
      <c r="A3" s="15" t="s">
        <v>0</v>
      </c>
      <c r="B3" s="49">
        <v>69.400000000000006</v>
      </c>
      <c r="C3" s="49">
        <v>64.400000000000006</v>
      </c>
      <c r="D3" s="49">
        <v>62.3</v>
      </c>
      <c r="E3" s="49">
        <v>55</v>
      </c>
      <c r="F3" s="50">
        <f>11378.5/F35*100</f>
        <v>53.672169811320757</v>
      </c>
      <c r="G3" s="50">
        <f>10501.6/G35*100</f>
        <v>53.307614213197972</v>
      </c>
      <c r="H3" s="50">
        <f>9297.6/H35*100</f>
        <v>51.653333333333343</v>
      </c>
      <c r="I3" s="50">
        <f>8829.2/I35*100</f>
        <v>52.24378698224853</v>
      </c>
      <c r="J3" s="50">
        <f>8325.7/J35*100</f>
        <v>50.766463414634153</v>
      </c>
      <c r="K3" s="50">
        <f>7779.6/K35*100</f>
        <v>48.928301886792454</v>
      </c>
      <c r="L3" s="51"/>
      <c r="M3" s="51"/>
      <c r="N3" s="51"/>
      <c r="O3" s="51"/>
      <c r="P3" s="51"/>
      <c r="Q3" s="51"/>
    </row>
    <row r="4" spans="1:19">
      <c r="A4" s="15" t="s">
        <v>10</v>
      </c>
      <c r="B4" s="49">
        <v>2.2000000000000002</v>
      </c>
      <c r="C4" s="49">
        <v>2.6</v>
      </c>
      <c r="D4" s="49">
        <v>3.7</v>
      </c>
      <c r="E4" s="49">
        <v>3.3</v>
      </c>
      <c r="F4" s="49" t="s">
        <v>13</v>
      </c>
      <c r="G4" s="49"/>
      <c r="H4" s="46"/>
      <c r="I4" s="46"/>
      <c r="J4" s="46"/>
      <c r="K4" s="46"/>
      <c r="L4" s="51"/>
      <c r="M4" s="48"/>
      <c r="N4" s="51"/>
      <c r="O4" s="51"/>
      <c r="P4" s="51"/>
      <c r="Q4" s="51"/>
      <c r="R4" s="17"/>
      <c r="S4" s="17"/>
    </row>
    <row r="5" spans="1:19">
      <c r="A5" s="15" t="s">
        <v>12</v>
      </c>
      <c r="B5" s="49">
        <v>1.8</v>
      </c>
      <c r="C5" s="49">
        <v>2</v>
      </c>
      <c r="D5" s="49">
        <v>2.4</v>
      </c>
      <c r="E5" s="49">
        <v>2.5</v>
      </c>
      <c r="F5" s="49" t="s">
        <v>13</v>
      </c>
      <c r="G5" s="49"/>
      <c r="H5" s="46"/>
      <c r="I5" s="46"/>
      <c r="J5" s="46"/>
      <c r="K5" s="46"/>
      <c r="L5" s="51"/>
      <c r="M5" s="48"/>
      <c r="N5" s="51"/>
      <c r="O5" s="51"/>
      <c r="P5" s="51"/>
      <c r="Q5" s="51"/>
      <c r="R5" s="17"/>
      <c r="S5" s="17"/>
    </row>
    <row r="6" spans="1:19">
      <c r="A6" s="15" t="s">
        <v>14</v>
      </c>
      <c r="B6" s="49">
        <v>1</v>
      </c>
      <c r="C6" s="49">
        <v>1.4</v>
      </c>
      <c r="D6" s="49">
        <v>1.9</v>
      </c>
      <c r="E6" s="49">
        <v>1.8</v>
      </c>
      <c r="F6" s="49" t="s">
        <v>13</v>
      </c>
      <c r="G6" s="49"/>
      <c r="H6" s="46"/>
      <c r="I6" s="46"/>
      <c r="J6" s="46"/>
      <c r="K6" s="46"/>
      <c r="L6" s="51"/>
      <c r="M6" s="48"/>
      <c r="N6" s="51"/>
      <c r="O6" s="51"/>
      <c r="P6" s="51"/>
      <c r="Q6" s="51"/>
      <c r="R6" s="17"/>
      <c r="S6" s="17"/>
    </row>
    <row r="7" spans="1:19">
      <c r="A7" s="15" t="s">
        <v>15</v>
      </c>
      <c r="B7" s="49">
        <v>0.1</v>
      </c>
      <c r="C7" s="49">
        <v>0.1</v>
      </c>
      <c r="D7" s="49">
        <v>0.1</v>
      </c>
      <c r="E7" s="49">
        <v>0.2</v>
      </c>
      <c r="F7" s="49" t="s">
        <v>13</v>
      </c>
      <c r="G7" s="49"/>
      <c r="H7" s="46"/>
      <c r="I7" s="46"/>
      <c r="J7" s="46"/>
      <c r="K7" s="46"/>
      <c r="L7" s="51"/>
      <c r="M7" s="48"/>
      <c r="N7" s="48"/>
      <c r="O7" s="48"/>
      <c r="P7" s="48"/>
      <c r="Q7" s="48"/>
      <c r="R7" s="17"/>
      <c r="S7" s="17"/>
    </row>
    <row r="8" spans="1:19">
      <c r="A8" s="15" t="s">
        <v>16</v>
      </c>
      <c r="B8" s="49"/>
      <c r="C8" s="49"/>
      <c r="D8" s="49">
        <v>8.6</v>
      </c>
      <c r="E8" s="49">
        <v>9.3000000000000007</v>
      </c>
      <c r="F8" s="50">
        <f>4452.9/F35*100</f>
        <v>21.004245283018864</v>
      </c>
      <c r="G8" s="50">
        <f>4096.9/G35*100</f>
        <v>20.796446700507612</v>
      </c>
      <c r="H8" s="50">
        <f>4232.1/H35*100</f>
        <v>23.51166666666667</v>
      </c>
      <c r="I8" s="50">
        <f>3805.8/I35*100</f>
        <v>22.519526627218937</v>
      </c>
      <c r="J8" s="50">
        <f>3768.2/J35*100</f>
        <v>22.976829268292683</v>
      </c>
      <c r="K8" s="50">
        <f>3743.1/K35*100</f>
        <v>23.541509433962261</v>
      </c>
      <c r="L8" s="52"/>
      <c r="M8" s="52"/>
      <c r="N8" s="52"/>
      <c r="O8" s="52"/>
      <c r="P8" s="52"/>
      <c r="Q8" s="52"/>
      <c r="R8" s="53"/>
      <c r="S8" s="17"/>
    </row>
    <row r="9" spans="1:19">
      <c r="A9" s="15" t="s">
        <v>1</v>
      </c>
      <c r="B9" s="49">
        <v>11.6</v>
      </c>
      <c r="C9" s="49">
        <v>13.7</v>
      </c>
      <c r="D9" s="49">
        <v>13.5</v>
      </c>
      <c r="E9" s="49">
        <v>13.7</v>
      </c>
      <c r="F9" s="49" t="s">
        <v>18</v>
      </c>
      <c r="G9" s="49"/>
      <c r="H9" s="49"/>
      <c r="I9" s="49"/>
      <c r="J9" s="46"/>
      <c r="K9" s="46"/>
      <c r="L9" s="48"/>
      <c r="M9" s="48"/>
      <c r="N9" s="48"/>
      <c r="O9" s="48"/>
      <c r="P9" s="48"/>
      <c r="Q9" s="51"/>
      <c r="R9" s="17"/>
      <c r="S9" s="17"/>
    </row>
    <row r="10" spans="1:19">
      <c r="A10" s="15" t="s">
        <v>2</v>
      </c>
      <c r="B10" s="49">
        <v>7.6</v>
      </c>
      <c r="C10" s="49">
        <v>7.6</v>
      </c>
      <c r="D10" s="49" t="s">
        <v>18</v>
      </c>
      <c r="E10" s="49"/>
      <c r="F10" s="49"/>
      <c r="G10" s="49"/>
      <c r="H10" s="49"/>
      <c r="I10" s="49"/>
      <c r="J10" s="46"/>
      <c r="K10" s="46"/>
      <c r="L10" s="48"/>
      <c r="M10" s="48"/>
      <c r="N10" s="48"/>
      <c r="O10" s="48"/>
      <c r="P10" s="48"/>
      <c r="Q10" s="51"/>
      <c r="R10" s="17"/>
      <c r="S10" s="17"/>
    </row>
    <row r="11" spans="1:19">
      <c r="A11" s="15" t="s">
        <v>20</v>
      </c>
      <c r="B11" s="49">
        <v>2.1</v>
      </c>
      <c r="C11" s="49">
        <v>3.2</v>
      </c>
      <c r="D11" s="49">
        <v>3.4</v>
      </c>
      <c r="E11" s="49">
        <v>3</v>
      </c>
      <c r="F11" s="49">
        <v>3.3</v>
      </c>
      <c r="G11" s="49">
        <v>6.1</v>
      </c>
      <c r="H11" s="49">
        <f>1450.7/H35*100</f>
        <v>8.0594444444444449</v>
      </c>
      <c r="I11" s="49">
        <f>1301/I35*100</f>
        <v>7.6982248520710064</v>
      </c>
      <c r="J11" s="49">
        <f>1243.3/J35*100</f>
        <v>7.5810975609756097</v>
      </c>
      <c r="K11" s="46">
        <f>1153.4/K35*100</f>
        <v>7.2540880503144649</v>
      </c>
      <c r="L11" s="54"/>
      <c r="M11" s="54"/>
      <c r="N11" s="54"/>
      <c r="O11" s="54"/>
      <c r="P11" s="54"/>
      <c r="Q11" s="54"/>
      <c r="R11" s="17"/>
      <c r="S11" s="17"/>
    </row>
    <row r="12" spans="1:19">
      <c r="A12" s="15" t="s">
        <v>21</v>
      </c>
      <c r="B12" s="49"/>
      <c r="C12" s="49"/>
      <c r="D12" s="49"/>
      <c r="E12" s="49">
        <v>0.04</v>
      </c>
      <c r="F12" s="49">
        <v>0.1</v>
      </c>
      <c r="G12" s="49">
        <v>0.2</v>
      </c>
      <c r="H12" s="49">
        <v>1.4</v>
      </c>
      <c r="I12" s="49">
        <v>2.2999999999999998</v>
      </c>
      <c r="J12" s="49">
        <v>2.7</v>
      </c>
      <c r="K12" s="46">
        <f>521.3/K35*100</f>
        <v>3.2786163522012579</v>
      </c>
      <c r="L12" s="55"/>
      <c r="M12" s="55"/>
      <c r="N12" s="55"/>
      <c r="O12" s="55"/>
      <c r="P12" s="55"/>
      <c r="Q12" s="55"/>
      <c r="S12" s="17"/>
    </row>
    <row r="13" spans="1:19">
      <c r="A13" s="15" t="s">
        <v>22</v>
      </c>
      <c r="B13" s="49"/>
      <c r="C13" s="49"/>
      <c r="D13" s="49"/>
      <c r="E13" s="49"/>
      <c r="F13" s="49">
        <v>1</v>
      </c>
      <c r="G13" s="49"/>
      <c r="H13" s="56">
        <v>2.8</v>
      </c>
      <c r="I13" s="49">
        <v>2.9</v>
      </c>
      <c r="J13" s="49">
        <v>3</v>
      </c>
      <c r="K13" s="46">
        <f>477/K35*100</f>
        <v>3</v>
      </c>
      <c r="L13" s="48"/>
      <c r="M13" s="48"/>
      <c r="N13" s="48"/>
      <c r="O13" s="48"/>
      <c r="P13" s="48"/>
      <c r="Q13" s="48"/>
      <c r="S13" s="17"/>
    </row>
    <row r="14" spans="1:19">
      <c r="A14" s="15" t="s">
        <v>3</v>
      </c>
      <c r="B14" s="49"/>
      <c r="C14" s="49"/>
      <c r="D14" s="49"/>
      <c r="E14" s="49"/>
      <c r="F14" s="49"/>
      <c r="G14" s="49">
        <f>10.6/G35*100</f>
        <v>5.3807106598984772E-2</v>
      </c>
      <c r="H14" s="56">
        <f>368.4/H35*100</f>
        <v>2.0466666666666664</v>
      </c>
      <c r="I14" s="49">
        <v>2.4</v>
      </c>
      <c r="J14" s="49">
        <v>2.7</v>
      </c>
      <c r="K14" s="49">
        <f>454.9/K35*100</f>
        <v>2.8610062893081758</v>
      </c>
      <c r="L14" s="17"/>
      <c r="M14" s="17"/>
      <c r="N14" s="17"/>
      <c r="O14" s="17"/>
      <c r="P14" s="17"/>
      <c r="Q14" s="17"/>
      <c r="R14" s="17"/>
      <c r="S14" s="57"/>
    </row>
    <row r="15" spans="1:19">
      <c r="A15" s="15" t="s">
        <v>24</v>
      </c>
      <c r="B15" s="49"/>
      <c r="C15" s="49"/>
      <c r="D15" s="49"/>
      <c r="E15" s="49">
        <v>0.09</v>
      </c>
      <c r="F15" s="49" t="s">
        <v>4</v>
      </c>
      <c r="G15" s="49"/>
      <c r="H15" s="49"/>
      <c r="I15" s="49"/>
      <c r="J15" s="46"/>
      <c r="K15" s="46"/>
      <c r="L15" s="17"/>
      <c r="M15" s="17"/>
      <c r="N15" s="17"/>
      <c r="P15" s="17"/>
      <c r="Q15" s="17"/>
      <c r="R15" s="17"/>
      <c r="S15" s="17"/>
    </row>
    <row r="16" spans="1:19">
      <c r="A16" s="15" t="s">
        <v>26</v>
      </c>
      <c r="B16" s="49">
        <v>3</v>
      </c>
      <c r="C16" s="49">
        <v>3.7</v>
      </c>
      <c r="D16" s="49">
        <v>3.7</v>
      </c>
      <c r="E16" s="49">
        <f>615.5/E35*100</f>
        <v>3.4385474860335199</v>
      </c>
      <c r="F16" s="49">
        <f>468.3/F35*100</f>
        <v>2.2089622641509434</v>
      </c>
      <c r="G16" s="49">
        <f>448/G35*100</f>
        <v>2.2741116751269037</v>
      </c>
      <c r="H16" s="49">
        <f>414.3/H35*100</f>
        <v>2.3016666666666667</v>
      </c>
      <c r="I16" s="49">
        <f>396.2/I35*100</f>
        <v>2.344378698224852</v>
      </c>
      <c r="J16" s="49">
        <f>338/J35*100</f>
        <v>2.0609756097560976</v>
      </c>
      <c r="K16" s="46">
        <f>336.9/K35*100</f>
        <v>2.1188679245283017</v>
      </c>
      <c r="L16" s="48"/>
      <c r="M16" s="48"/>
      <c r="N16" s="48"/>
      <c r="O16" s="48"/>
      <c r="P16" s="48"/>
      <c r="Q16" s="48"/>
      <c r="R16" s="53"/>
      <c r="S16" s="17"/>
    </row>
    <row r="17" spans="1:19">
      <c r="A17" s="15" t="s">
        <v>27</v>
      </c>
      <c r="B17" s="49"/>
      <c r="C17" s="49"/>
      <c r="D17" s="49"/>
      <c r="E17" s="49"/>
      <c r="F17" s="49"/>
      <c r="G17" s="49"/>
      <c r="H17" s="49">
        <v>0.4</v>
      </c>
      <c r="I17" s="49">
        <v>0.7</v>
      </c>
      <c r="J17" s="49">
        <v>1.3</v>
      </c>
      <c r="K17" s="46">
        <f>209.3/K35*100</f>
        <v>1.3163522012578617</v>
      </c>
      <c r="L17" s="17"/>
      <c r="M17" s="17"/>
      <c r="N17" s="17"/>
      <c r="O17" s="17"/>
      <c r="P17" s="17"/>
      <c r="Q17" s="17"/>
      <c r="R17" s="17"/>
      <c r="S17" s="17"/>
    </row>
    <row r="18" spans="1:19">
      <c r="A18" s="15" t="s">
        <v>28</v>
      </c>
      <c r="B18" s="49"/>
      <c r="C18" s="49"/>
      <c r="D18" s="49"/>
      <c r="E18" s="49"/>
      <c r="F18" s="49">
        <f>149.2/F35*100</f>
        <v>0.70377358490566033</v>
      </c>
      <c r="G18" s="49">
        <f>264.3/G35*100</f>
        <v>1.3416243654822335</v>
      </c>
      <c r="H18" s="49">
        <f>230.2/H35*100</f>
        <v>1.2788888888888887</v>
      </c>
      <c r="I18" s="49">
        <f>198.5/I35*100</f>
        <v>1.1745562130177516</v>
      </c>
      <c r="J18" s="49">
        <f>182.5/J35*100</f>
        <v>1.1128048780487805</v>
      </c>
      <c r="K18" s="49">
        <f>128.8/K35*100</f>
        <v>0.81006289308176105</v>
      </c>
      <c r="L18" s="17"/>
      <c r="M18" s="17"/>
      <c r="N18" s="17"/>
      <c r="O18" s="17"/>
      <c r="P18" s="17"/>
      <c r="Q18" s="17"/>
      <c r="R18" s="17"/>
      <c r="S18" s="17"/>
    </row>
    <row r="19" spans="1:19">
      <c r="A19" s="15" t="s">
        <v>29</v>
      </c>
      <c r="B19" s="49"/>
      <c r="C19" s="49"/>
      <c r="D19" s="49"/>
      <c r="E19" s="49">
        <v>0.4</v>
      </c>
      <c r="F19" s="49" t="s">
        <v>30</v>
      </c>
      <c r="G19" s="49"/>
      <c r="H19" s="49"/>
      <c r="I19" s="49"/>
      <c r="J19" s="46"/>
      <c r="K19" s="46"/>
      <c r="L19" s="17"/>
      <c r="M19" s="17"/>
      <c r="N19" s="17"/>
      <c r="S19" s="17"/>
    </row>
    <row r="20" spans="1:19">
      <c r="A20" s="15" t="s">
        <v>31</v>
      </c>
      <c r="B20" s="49"/>
      <c r="C20" s="49"/>
      <c r="D20" s="49"/>
      <c r="E20" s="49"/>
      <c r="F20" s="49">
        <v>8.9999999999999993E-3</v>
      </c>
      <c r="G20" s="49">
        <v>0.1</v>
      </c>
      <c r="H20" s="49">
        <f>56.9/H35*100</f>
        <v>0.31611111111111112</v>
      </c>
      <c r="I20" s="49">
        <f>99.1/I35*100</f>
        <v>0.58639053254437867</v>
      </c>
      <c r="J20" s="49">
        <f>97.2/J35*100</f>
        <v>0.59268292682926826</v>
      </c>
      <c r="K20" s="46">
        <f>109.3/K35*100</f>
        <v>0.6874213836477987</v>
      </c>
      <c r="L20" s="17"/>
      <c r="M20" s="17"/>
      <c r="N20" s="17"/>
      <c r="O20" s="17"/>
      <c r="P20" s="17"/>
      <c r="Q20" s="17"/>
      <c r="R20" s="17"/>
      <c r="S20" s="17"/>
    </row>
    <row r="21" spans="1:19">
      <c r="A21" s="15" t="s">
        <v>32</v>
      </c>
      <c r="B21" s="49"/>
      <c r="C21" s="49"/>
      <c r="D21" s="49"/>
      <c r="E21" s="49"/>
      <c r="F21" s="49"/>
      <c r="G21" s="49"/>
      <c r="H21" s="49" t="s">
        <v>33</v>
      </c>
      <c r="I21" s="49"/>
      <c r="J21" s="46"/>
      <c r="K21" s="46"/>
      <c r="L21" s="17"/>
      <c r="M21" s="17"/>
      <c r="N21" s="17"/>
      <c r="P21" s="17"/>
      <c r="Q21" s="17"/>
      <c r="R21" s="17"/>
      <c r="S21" s="17"/>
    </row>
    <row r="22" spans="1:19">
      <c r="A22" s="15" t="s">
        <v>34</v>
      </c>
      <c r="B22" s="49"/>
      <c r="C22" s="49"/>
      <c r="D22" s="49"/>
      <c r="E22" s="49"/>
      <c r="F22" s="49"/>
      <c r="G22" s="49">
        <f>3.7/G35*100</f>
        <v>1.8781725888324875E-2</v>
      </c>
      <c r="H22" s="49">
        <f>4.8/H35*100</f>
        <v>2.6666666666666668E-2</v>
      </c>
      <c r="I22" s="49">
        <f>6.7/I35*100</f>
        <v>3.9644970414201182E-2</v>
      </c>
      <c r="J22" s="49">
        <f>7.1/J35*100</f>
        <v>4.3292682926829272E-2</v>
      </c>
      <c r="K22" s="49">
        <f>7.9/K35*100</f>
        <v>4.9685534591194971E-2</v>
      </c>
      <c r="L22" s="17"/>
      <c r="M22" s="17"/>
      <c r="N22" s="17"/>
      <c r="O22" s="17"/>
      <c r="P22" s="17"/>
      <c r="Q22" s="17"/>
      <c r="R22" s="17"/>
      <c r="S22" s="17"/>
    </row>
    <row r="23" spans="1:19">
      <c r="A23" s="15" t="s">
        <v>35</v>
      </c>
      <c r="B23" s="49">
        <v>1.2</v>
      </c>
      <c r="C23" s="49">
        <v>1.2</v>
      </c>
      <c r="D23" s="49">
        <v>1.2</v>
      </c>
      <c r="E23" s="49">
        <v>1.2</v>
      </c>
      <c r="F23" s="49">
        <v>1.3</v>
      </c>
      <c r="G23" s="49">
        <v>1.9</v>
      </c>
      <c r="H23" s="49">
        <v>2.4</v>
      </c>
      <c r="I23" s="49">
        <v>2.4</v>
      </c>
      <c r="J23" s="49">
        <v>1.7</v>
      </c>
      <c r="K23" s="49"/>
      <c r="L23" s="17"/>
      <c r="M23" s="17"/>
      <c r="N23" s="17"/>
      <c r="O23" s="17"/>
      <c r="S23" s="17"/>
    </row>
    <row r="24" spans="1:19">
      <c r="A24" s="15" t="s">
        <v>36</v>
      </c>
      <c r="B24" s="49"/>
      <c r="C24" s="49"/>
      <c r="D24" s="49"/>
      <c r="E24" s="49"/>
      <c r="F24" s="49">
        <v>6.9</v>
      </c>
      <c r="G24" s="49" t="s">
        <v>37</v>
      </c>
      <c r="H24" s="49"/>
      <c r="I24" s="49"/>
      <c r="J24" s="46"/>
      <c r="K24" s="49"/>
      <c r="L24" s="17"/>
      <c r="M24" s="17"/>
      <c r="N24" s="17"/>
      <c r="S24" s="17"/>
    </row>
    <row r="25" spans="1:19">
      <c r="A25" s="15" t="s">
        <v>38</v>
      </c>
      <c r="B25" s="49"/>
      <c r="C25" s="49"/>
      <c r="D25" s="49">
        <v>0.6</v>
      </c>
      <c r="E25" s="49">
        <v>4</v>
      </c>
      <c r="F25" s="49">
        <v>3.6</v>
      </c>
      <c r="G25" s="49">
        <v>4.0999999999999996</v>
      </c>
      <c r="H25" s="49" t="s">
        <v>5</v>
      </c>
      <c r="I25" s="49"/>
      <c r="J25" s="46"/>
      <c r="K25" s="49"/>
      <c r="L25" s="17"/>
      <c r="M25" s="17"/>
      <c r="N25" s="17"/>
      <c r="P25" s="17"/>
      <c r="Q25" s="17"/>
      <c r="R25" s="17"/>
      <c r="S25" s="17"/>
    </row>
    <row r="26" spans="1:19">
      <c r="A26" s="15" t="s">
        <v>40</v>
      </c>
      <c r="B26" s="49"/>
      <c r="C26" s="49"/>
      <c r="D26" s="49"/>
      <c r="E26" s="49"/>
      <c r="F26" s="49">
        <v>1.3</v>
      </c>
      <c r="G26" s="49">
        <v>1.8</v>
      </c>
      <c r="H26" s="49" t="s">
        <v>41</v>
      </c>
      <c r="I26" s="49"/>
      <c r="J26" s="46"/>
      <c r="K26" s="49"/>
      <c r="L26" s="17"/>
      <c r="M26" s="17"/>
      <c r="N26" s="17"/>
      <c r="Q26" s="17"/>
      <c r="R26" s="17"/>
      <c r="S26" s="17"/>
    </row>
    <row r="27" spans="1:19">
      <c r="A27" s="15" t="s">
        <v>42</v>
      </c>
      <c r="B27" s="49"/>
      <c r="C27" s="49"/>
      <c r="D27" s="49"/>
      <c r="E27" s="49"/>
      <c r="F27" s="49">
        <v>0.3</v>
      </c>
      <c r="G27" s="49" t="s">
        <v>6</v>
      </c>
      <c r="H27" s="49"/>
      <c r="I27" s="49"/>
      <c r="J27" s="46"/>
      <c r="K27" s="49"/>
      <c r="L27" s="17"/>
      <c r="M27" s="17"/>
      <c r="N27" s="17"/>
      <c r="Q27" s="17"/>
      <c r="R27" s="17"/>
      <c r="S27" s="17"/>
    </row>
    <row r="28" spans="1:19">
      <c r="A28" s="15" t="s">
        <v>44</v>
      </c>
      <c r="B28" s="49"/>
      <c r="C28" s="49"/>
      <c r="D28" s="49"/>
      <c r="E28" s="49">
        <v>0.04</v>
      </c>
      <c r="F28" s="49">
        <v>0.1</v>
      </c>
      <c r="G28" s="49" t="s">
        <v>7</v>
      </c>
      <c r="H28" s="49"/>
      <c r="I28" s="49"/>
      <c r="J28" s="46"/>
      <c r="K28" s="49"/>
      <c r="L28" s="17"/>
      <c r="M28" s="17"/>
      <c r="N28" s="17"/>
      <c r="P28" s="17"/>
      <c r="Q28" s="17"/>
      <c r="R28" s="17"/>
      <c r="S28" s="17"/>
    </row>
    <row r="29" spans="1:19">
      <c r="A29" s="15" t="s">
        <v>46</v>
      </c>
      <c r="B29" s="49"/>
      <c r="C29" s="49"/>
      <c r="D29" s="49"/>
      <c r="E29" s="49"/>
      <c r="F29" s="49">
        <v>0.3</v>
      </c>
      <c r="G29" s="49" t="s">
        <v>47</v>
      </c>
      <c r="H29" s="49"/>
      <c r="I29" s="49"/>
      <c r="J29" s="46"/>
      <c r="K29" s="49"/>
      <c r="L29" s="17"/>
      <c r="M29" s="17"/>
      <c r="N29" s="17"/>
      <c r="P29" s="17"/>
      <c r="Q29" s="17"/>
      <c r="R29" s="17"/>
      <c r="S29" s="17"/>
    </row>
    <row r="30" spans="1:19">
      <c r="A30" s="15" t="s">
        <v>48</v>
      </c>
      <c r="B30" s="49"/>
      <c r="C30" s="49"/>
      <c r="D30" s="49"/>
      <c r="E30" s="49"/>
      <c r="F30" s="49">
        <v>0.3</v>
      </c>
      <c r="G30" s="49"/>
      <c r="H30" s="49"/>
      <c r="I30" s="49"/>
      <c r="J30" s="46"/>
      <c r="K30" s="46"/>
      <c r="L30" s="17"/>
      <c r="M30" s="17"/>
      <c r="N30" s="17"/>
      <c r="P30" s="17"/>
      <c r="Q30" s="17"/>
      <c r="R30" s="17"/>
      <c r="S30" s="17"/>
    </row>
    <row r="31" spans="1:19">
      <c r="A31" s="15" t="s">
        <v>49</v>
      </c>
      <c r="B31" s="49"/>
      <c r="C31" s="49"/>
      <c r="D31" s="49"/>
      <c r="E31" s="49"/>
      <c r="F31" s="49"/>
      <c r="G31" s="49">
        <v>0.01</v>
      </c>
      <c r="H31" s="49" t="s">
        <v>50</v>
      </c>
      <c r="I31" s="49"/>
      <c r="J31" s="46"/>
      <c r="K31" s="46"/>
      <c r="L31" s="17"/>
      <c r="M31" s="17"/>
      <c r="N31" s="17"/>
      <c r="P31" s="58"/>
      <c r="Q31" s="58"/>
      <c r="R31" s="17"/>
      <c r="S31" s="17"/>
    </row>
    <row r="32" spans="1:19">
      <c r="A32" s="15" t="s">
        <v>51</v>
      </c>
      <c r="B32" s="49"/>
      <c r="C32" s="49"/>
      <c r="D32" s="49"/>
      <c r="E32" s="49"/>
      <c r="F32" s="49"/>
      <c r="G32" s="49">
        <v>0.02</v>
      </c>
      <c r="H32" s="49">
        <v>0.2</v>
      </c>
      <c r="I32" s="49">
        <v>0.2</v>
      </c>
      <c r="J32" s="49">
        <v>0.2</v>
      </c>
      <c r="K32" s="49"/>
      <c r="L32" s="17"/>
      <c r="M32" s="17"/>
      <c r="N32" s="17"/>
      <c r="O32" s="17"/>
      <c r="P32" s="58"/>
      <c r="Q32" s="17"/>
      <c r="R32" s="17"/>
      <c r="S32" s="17"/>
    </row>
    <row r="33" spans="1:19">
      <c r="A33" s="15" t="s">
        <v>52</v>
      </c>
      <c r="B33" s="49"/>
      <c r="C33" s="49"/>
      <c r="D33" s="49"/>
      <c r="E33" s="49"/>
      <c r="F33" s="49"/>
      <c r="G33" s="49"/>
      <c r="H33" s="49">
        <v>0.01</v>
      </c>
      <c r="I33" s="49">
        <v>0.01</v>
      </c>
      <c r="J33" s="49">
        <v>0.01</v>
      </c>
      <c r="K33" s="49"/>
      <c r="L33" s="17"/>
      <c r="M33" s="17"/>
      <c r="N33" s="17"/>
      <c r="O33" s="17"/>
      <c r="S33" s="17"/>
    </row>
    <row r="34" spans="1:19">
      <c r="A34" s="15" t="s">
        <v>53</v>
      </c>
      <c r="B34" s="49"/>
      <c r="C34" s="49"/>
      <c r="D34" s="49"/>
      <c r="E34" s="49"/>
      <c r="F34" s="49"/>
      <c r="G34" s="49"/>
      <c r="H34" s="49"/>
      <c r="I34" s="49"/>
      <c r="J34" s="46"/>
      <c r="K34" s="46"/>
      <c r="L34" s="17"/>
      <c r="M34" s="17"/>
      <c r="N34" s="17"/>
      <c r="S34" s="17"/>
    </row>
    <row r="35" spans="1:19" s="63" customFormat="1">
      <c r="A35" s="15" t="s">
        <v>54</v>
      </c>
      <c r="B35" s="59">
        <v>12787</v>
      </c>
      <c r="C35" s="59">
        <v>14007</v>
      </c>
      <c r="D35" s="59">
        <v>14700</v>
      </c>
      <c r="E35" s="59">
        <v>17900</v>
      </c>
      <c r="F35" s="59">
        <v>21200</v>
      </c>
      <c r="G35" s="59">
        <v>19700</v>
      </c>
      <c r="H35" s="59">
        <v>18000</v>
      </c>
      <c r="I35" s="59">
        <v>16900</v>
      </c>
      <c r="J35" s="59">
        <v>16400</v>
      </c>
      <c r="K35" s="60">
        <v>15900</v>
      </c>
      <c r="L35" s="61"/>
      <c r="M35" s="61"/>
      <c r="N35" s="61"/>
      <c r="O35" s="62"/>
      <c r="P35" s="55"/>
      <c r="Q35" s="55"/>
      <c r="R35" s="55"/>
      <c r="S35" s="55"/>
    </row>
    <row r="36" spans="1:19">
      <c r="A36" s="15" t="s">
        <v>55</v>
      </c>
      <c r="B36" s="49">
        <f>SUM(B3+B9+B10+B4)</f>
        <v>90.8</v>
      </c>
      <c r="C36" s="49">
        <f>SUM(C3+C9+C10+C16)</f>
        <v>89.4</v>
      </c>
      <c r="D36" s="49">
        <f>SUM(D3+D9+D8+D16)</f>
        <v>88.1</v>
      </c>
      <c r="E36" s="49">
        <f>SUM(E3+E9+E8+E25)</f>
        <v>82</v>
      </c>
      <c r="F36" s="49">
        <f>SUM(F3+F8+F24+F25)</f>
        <v>85.176415094339617</v>
      </c>
      <c r="G36" s="49">
        <f>SUM(G3+G8+G11+G25)</f>
        <v>84.30406091370557</v>
      </c>
      <c r="H36" s="49">
        <f>SUM(H3+H8+H11+H13)</f>
        <v>86.024444444444455</v>
      </c>
      <c r="I36" s="49">
        <f>SUM(I3+I8+I11+I16)</f>
        <v>84.805917159763339</v>
      </c>
      <c r="J36" s="49">
        <f>SUM(J3+J8+J11+J13)</f>
        <v>84.324390243902442</v>
      </c>
      <c r="K36" s="46">
        <f>SUM(K3+K8+K11+K12)</f>
        <v>83.002515723270434</v>
      </c>
      <c r="L36" s="17"/>
      <c r="M36" s="17"/>
      <c r="N36" s="17"/>
      <c r="O36" s="17"/>
      <c r="P36" s="16"/>
      <c r="Q36" s="16"/>
      <c r="R36" s="16"/>
      <c r="S36" s="64"/>
    </row>
    <row r="37" spans="1:19">
      <c r="A37" s="15" t="s">
        <v>56</v>
      </c>
      <c r="B37" s="49">
        <f>SUMSQ(B3,B4,B5,B6,B7,B9,B10,B11,B16,B23)</f>
        <v>5032.6200000000008</v>
      </c>
      <c r="C37" s="49">
        <f>SUMSQ(C3,C4,C5,C6,C7,C9,C10,C11,C16,C23)</f>
        <v>4430.91</v>
      </c>
      <c r="D37" s="49">
        <f>SUMSQ(D3,D4,D5,D6,D7,D8,D9,D11,D16,D23,D25)</f>
        <v>4187.619999999999</v>
      </c>
      <c r="E37" s="49">
        <f>SUMSQ(E3,E4,E5,E6,E7,E8,E9,E11,E16,E12,E15,E23,E25,E28,E19)</f>
        <v>3358.0349088137073</v>
      </c>
      <c r="F37" s="49">
        <f>SUMSQ(F3,F8,F11,F16,F13,F12,F20,F23,F24,F25,F26,F27,F28,F29,F18,F30,0.3)</f>
        <v>3403.4750247077263</v>
      </c>
      <c r="G37" s="49">
        <f>SUMSQ(G3,G8,G11,G16,G13,G12,G14,G20,G22,G23,G25,G26,G18+G31,G32)</f>
        <v>3342.116048764462</v>
      </c>
      <c r="H37" s="49">
        <f>SUMSQ(H3,H8,H11,H16,H13,H12,H14,H17,H20,H22,H23,H18,H32,H33)</f>
        <v>3312.802766666669</v>
      </c>
      <c r="I37" s="49">
        <f>SUMSQ(I3,I8,I11,I16,I13,I12,I14,I17,I20,I22,I23,I18,I32,I33)</f>
        <v>3328.7762429921931</v>
      </c>
      <c r="J37" s="46">
        <f>SUMSQ(J3,J8,J11,J16,J13,J12,J14,J17,J20,J22,J23,J18,J32,J33)</f>
        <v>3196.6807335514582</v>
      </c>
      <c r="K37" s="46">
        <f>SUMSQ(K3,K8,K11,K12,K13,K14,K16,K18,K17,K20,K22)</f>
        <v>3036.0914706696722</v>
      </c>
      <c r="M37" s="17"/>
      <c r="N37" s="17"/>
      <c r="O37" s="17"/>
      <c r="P37" s="17"/>
      <c r="Q37" s="17"/>
      <c r="R37" s="17"/>
      <c r="S37" s="17"/>
    </row>
    <row r="40" spans="1:19">
      <c r="A40" s="15" t="s">
        <v>57</v>
      </c>
    </row>
  </sheetData>
  <sheetCalcPr fullCalcOnLoad="1"/>
  <phoneticPr fontId="2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Wireline Telecoms ($)</vt:lpstr>
      <vt:lpstr>Wireline Telecoms (mrkt share)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2013-10-14T14:28:18Z</dcterms:created>
  <dcterms:modified xsi:type="dcterms:W3CDTF">2013-10-14T14:32:41Z</dcterms:modified>
</cp:coreProperties>
</file>