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Default Extension="jpe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60" yWindow="460" windowWidth="21120" windowHeight="13620" tabRatio="500" activeTab="1"/>
  </bookViews>
  <sheets>
    <sheet name="Total TV Universe ($)" sheetId="1" r:id="rId1"/>
    <sheet name="Total TV Universe (mrkt share)" sheetId="2" r:id="rId2"/>
  </sheets>
  <definedNames>
    <definedName name="Z_53A03D0E_38D0_7449_9494_A87029C5A3DD_.wvu.Rows" localSheetId="0" hidden="1">'Total TV Universe ($)'!$45:$45</definedName>
    <definedName name="Z_76AAADB2_7415_974E_BA98_ED7CDFF7D929_.wvu.Rows" localSheetId="1" hidden="1">'Total TV Universe (mrkt share)'!#REF!</definedName>
    <definedName name="Z_C1CFBDE7_2FAB_EE4D_8BC2_4415671EDD7A_.wvu.Rows" localSheetId="0" hidden="1">'Total TV Universe ($)'!$45:$45</definedName>
    <definedName name="Z_C2D491F7_5539_274B_90BD_E9E995F70CAC_.wvu.Rows" localSheetId="1" hidden="1">'Total TV Universe (mrkt share)'!#REF!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43" i="1"/>
  <c r="O43"/>
  <c r="N43"/>
  <c r="M43"/>
  <c r="L43"/>
  <c r="J24"/>
  <c r="P44" i="2"/>
  <c r="P17"/>
  <c r="P18"/>
  <c r="P24"/>
  <c r="P28"/>
  <c r="P29"/>
  <c r="P33"/>
  <c r="P36"/>
  <c r="P37"/>
  <c r="P38"/>
  <c r="P39"/>
  <c r="P48"/>
  <c r="O44"/>
  <c r="O3"/>
  <c r="O17"/>
  <c r="O18"/>
  <c r="O24"/>
  <c r="O28"/>
  <c r="O29"/>
  <c r="O33"/>
  <c r="O36"/>
  <c r="O37"/>
  <c r="O38"/>
  <c r="O39"/>
  <c r="O48"/>
  <c r="N3"/>
  <c r="N17"/>
  <c r="N18"/>
  <c r="N24"/>
  <c r="N28"/>
  <c r="N29"/>
  <c r="N33"/>
  <c r="N36"/>
  <c r="N38"/>
  <c r="N48"/>
  <c r="M3"/>
  <c r="M4"/>
  <c r="M17"/>
  <c r="M18"/>
  <c r="M24"/>
  <c r="M28"/>
  <c r="M29"/>
  <c r="M33"/>
  <c r="M36"/>
  <c r="M37"/>
  <c r="M38"/>
  <c r="M48"/>
  <c r="L3"/>
  <c r="L4"/>
  <c r="L17"/>
  <c r="L18"/>
  <c r="L19"/>
  <c r="L24"/>
  <c r="L28"/>
  <c r="L29"/>
  <c r="L33"/>
  <c r="L36"/>
  <c r="L37"/>
  <c r="L38"/>
  <c r="L48"/>
  <c r="K44"/>
  <c r="K5"/>
  <c r="K15"/>
  <c r="K17"/>
  <c r="K18"/>
  <c r="K19"/>
  <c r="K20"/>
  <c r="K24"/>
  <c r="K28"/>
  <c r="K29"/>
  <c r="K34"/>
  <c r="K36"/>
  <c r="K37"/>
  <c r="K38"/>
  <c r="K48"/>
  <c r="J44"/>
  <c r="J5"/>
  <c r="J17"/>
  <c r="J18"/>
  <c r="J19"/>
  <c r="J20"/>
  <c r="J24"/>
  <c r="J28"/>
  <c r="J29"/>
  <c r="J34"/>
  <c r="J36"/>
  <c r="J37"/>
  <c r="J38"/>
  <c r="J48"/>
  <c r="I48"/>
  <c r="H48"/>
  <c r="G48"/>
  <c r="F44"/>
  <c r="F16"/>
  <c r="F46"/>
  <c r="F48"/>
  <c r="E46"/>
  <c r="E48"/>
  <c r="P47"/>
  <c r="O47"/>
  <c r="N47"/>
  <c r="M47"/>
  <c r="L16"/>
  <c r="L45"/>
  <c r="L47"/>
  <c r="K45"/>
  <c r="K47"/>
  <c r="J47"/>
  <c r="I44"/>
  <c r="I5"/>
  <c r="I19"/>
  <c r="I24"/>
  <c r="I15"/>
  <c r="I45"/>
  <c r="I47"/>
  <c r="H44"/>
  <c r="H6"/>
  <c r="H19"/>
  <c r="H24"/>
  <c r="H29"/>
  <c r="H45"/>
  <c r="H47"/>
  <c r="G44"/>
  <c r="G6"/>
  <c r="G19"/>
  <c r="G24"/>
  <c r="G20"/>
  <c r="G45"/>
  <c r="G47"/>
  <c r="F45"/>
  <c r="F47"/>
  <c r="E45"/>
  <c r="E47"/>
  <c r="P16"/>
  <c r="P46"/>
  <c r="O16"/>
  <c r="O46"/>
  <c r="N16"/>
  <c r="N46"/>
  <c r="M16"/>
  <c r="M46"/>
  <c r="L46"/>
  <c r="K16"/>
  <c r="K46"/>
  <c r="J16"/>
  <c r="J46"/>
  <c r="D46"/>
  <c r="B46"/>
  <c r="P45"/>
  <c r="O45"/>
  <c r="N45"/>
  <c r="M45"/>
  <c r="J45"/>
  <c r="D45"/>
  <c r="C45"/>
  <c r="B45"/>
  <c r="E44"/>
  <c r="D44"/>
  <c r="C44"/>
  <c r="B44"/>
  <c r="I40"/>
  <c r="H40"/>
  <c r="G40"/>
  <c r="I38"/>
  <c r="H38"/>
  <c r="G38"/>
  <c r="I37"/>
  <c r="H37"/>
  <c r="G37"/>
  <c r="I36"/>
  <c r="H36"/>
  <c r="G36"/>
  <c r="I34"/>
  <c r="H34"/>
  <c r="G34"/>
  <c r="G30"/>
  <c r="I29"/>
  <c r="G29"/>
  <c r="I28"/>
  <c r="H28"/>
  <c r="G28"/>
  <c r="H25"/>
  <c r="G25"/>
  <c r="G22"/>
  <c r="I20"/>
  <c r="H20"/>
  <c r="G18"/>
  <c r="I16"/>
  <c r="H16"/>
  <c r="G16"/>
  <c r="H15"/>
  <c r="G15"/>
  <c r="G7"/>
  <c r="H5"/>
</calcChain>
</file>

<file path=xl/comments1.xml><?xml version="1.0" encoding="utf-8"?>
<comments xmlns="http://schemas.openxmlformats.org/spreadsheetml/2006/main">
  <authors>
    <author>Dwayne Winseck</author>
    <author>LR</author>
  </authors>
  <commentList>
    <comment ref="P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Source: CMI (2013) Research Note. Pp. 9, 13 + MLSE acquisition ($8.1m, 2012). </t>
        </r>
      </text>
    </comment>
    <comment ref="H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2000, p.21</t>
        </r>
      </text>
    </comment>
    <comment ref="I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2002, p.25</t>
        </r>
      </text>
    </comment>
    <comment ref="J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2004, p. 44</t>
        </r>
      </text>
    </comment>
    <comment ref="K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2006, p.100</t>
        </r>
      </text>
    </comment>
    <comment ref="L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2009, p.18</t>
        </r>
      </text>
    </comment>
    <comment ref="M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p.52</t>
        </r>
      </text>
    </comment>
    <comment ref="N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p.25, excludes Astral's in-house advertising and online divisions PWC Astral Valuation Abridged, p.45</t>
        </r>
      </text>
    </comment>
    <comment ref="O28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p.25, excludes Astral's in-house advertising and online divisions PWC Astral Valuation Abridged, p.45</t>
        </r>
      </text>
    </comment>
    <comment ref="L42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M42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N42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O42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Source: http://crtc.gc.ca/eng/publications/reports/BrAnalysis/psp2012/psp2012_1.htm</t>
        </r>
      </text>
    </comment>
    <comment ref="P42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Source: http://crtc.gc.ca/eng/publications/reports/BrAnalysis/psp2012/psp2012_1.htm</t>
        </r>
      </text>
    </comment>
  </commentList>
</comments>
</file>

<file path=xl/comments2.xml><?xml version="1.0" encoding="utf-8"?>
<comments xmlns="http://schemas.openxmlformats.org/spreadsheetml/2006/main">
  <authors>
    <author>Dwayne Winseck</author>
  </authors>
  <commentList>
    <comment ref="P3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Estimate based on RNC having 1.119% of total revenues. </t>
        </r>
      </text>
    </comment>
    <comment ref="O42" authorId="0">
      <text>
        <r>
          <rPr>
            <b/>
            <sz val="9"/>
            <color indexed="81"/>
            <rFont val="Calibri"/>
            <family val="2"/>
          </rPr>
          <t xml:space="preserve">Dwayne Winseck: Estimate based on 2.53% growth rate between 2011 and 2012 = to the rate of growth in the previous year.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O4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Source: http://crtc.gc.ca/eng/publications/reports/BrAnalysis/psp2012/psp2012_1.htm</t>
        </r>
      </text>
    </comment>
  </commentList>
</comments>
</file>

<file path=xl/sharedStrings.xml><?xml version="1.0" encoding="utf-8"?>
<sst xmlns="http://schemas.openxmlformats.org/spreadsheetml/2006/main" count="143" uniqueCount="133">
  <si>
    <t xml:space="preserve">  Maclean Hunter (15)</t>
    <phoneticPr fontId="3" type="noConversion"/>
  </si>
  <si>
    <t>Rogers (1994)</t>
    <phoneticPr fontId="0" type="noConversion"/>
  </si>
  <si>
    <t xml:space="preserve">  Selkirk (16)</t>
    <phoneticPr fontId="3" type="noConversion"/>
  </si>
  <si>
    <t>Astral (17)</t>
    <phoneticPr fontId="3" type="noConversion"/>
  </si>
  <si>
    <t>Quebecor (18)</t>
    <phoneticPr fontId="3" type="noConversion"/>
  </si>
  <si>
    <t xml:space="preserve">  Videotron (19)</t>
    <phoneticPr fontId="3" type="noConversion"/>
  </si>
  <si>
    <t>QMI</t>
    <phoneticPr fontId="0" type="noConversion"/>
  </si>
  <si>
    <t xml:space="preserve">  TeleMetropole (TVA) (20)</t>
    <phoneticPr fontId="3" type="noConversion"/>
  </si>
  <si>
    <t xml:space="preserve">  Pathonic (21)</t>
    <phoneticPr fontId="3" type="noConversion"/>
  </si>
  <si>
    <t>V Interactions (Remstar)</t>
    <phoneticPr fontId="3" type="noConversion"/>
  </si>
  <si>
    <t>Cogeco TQS (2001-8) (22)</t>
    <phoneticPr fontId="3" type="noConversion"/>
  </si>
  <si>
    <t>1.8 (Remstar)</t>
  </si>
  <si>
    <t xml:space="preserve">  TQS (CFCF/Pouliot) (23)</t>
    <phoneticPr fontId="3" type="noConversion"/>
  </si>
  <si>
    <t>Quebecor &amp; Cons. (1997) (20)</t>
  </si>
  <si>
    <t>Radio Nord (24)</t>
    <phoneticPr fontId="3" type="noConversion"/>
  </si>
  <si>
    <t xml:space="preserve">Craig </t>
    <phoneticPr fontId="3" type="noConversion"/>
  </si>
  <si>
    <t>1.22 CHUM</t>
  </si>
  <si>
    <t xml:space="preserve">Other </t>
  </si>
  <si>
    <t>Conventional TV $</t>
    <phoneticPr fontId="3" type="noConversion"/>
  </si>
  <si>
    <t>Spec and Pay TV $</t>
    <phoneticPr fontId="3" type="noConversion"/>
  </si>
  <si>
    <t>HHI</t>
  </si>
  <si>
    <t>CR4 (Shaw/Corus separate)</t>
  </si>
  <si>
    <t>HHI(Shaw/Corus separate)</t>
  </si>
  <si>
    <t>See Notes and Sources Appendix.</t>
    <phoneticPr fontId="3" type="noConversion"/>
  </si>
  <si>
    <t>Bell</t>
    <phoneticPr fontId="3" type="noConversion"/>
  </si>
  <si>
    <t xml:space="preserve">  CTVGlobemedia (2)</t>
    <phoneticPr fontId="3" type="noConversion"/>
  </si>
  <si>
    <t>Bell</t>
    <phoneticPr fontId="0" type="noConversion"/>
  </si>
  <si>
    <t xml:space="preserve">    Bell Globemedia (3)</t>
    <phoneticPr fontId="3" type="noConversion"/>
  </si>
  <si>
    <t>CTVgm 2007</t>
    <phoneticPr fontId="3" type="noConversion"/>
  </si>
  <si>
    <t xml:space="preserve">      Baton (4)</t>
    <phoneticPr fontId="3" type="noConversion"/>
  </si>
  <si>
    <t xml:space="preserve">BCE (03/2000) </t>
    <phoneticPr fontId="3" type="noConversion"/>
  </si>
  <si>
    <t xml:space="preserve">        Netstar</t>
    <phoneticPr fontId="3" type="noConversion"/>
  </si>
  <si>
    <t xml:space="preserve">        Electrohome (5)</t>
    <phoneticPr fontId="3" type="noConversion"/>
  </si>
  <si>
    <t>1.8 (Baton)</t>
    <phoneticPr fontId="3" type="noConversion"/>
  </si>
  <si>
    <t xml:space="preserve">        Moffatt (6)</t>
    <phoneticPr fontId="3" type="noConversion"/>
  </si>
  <si>
    <t>0.7 (Baton)</t>
  </si>
  <si>
    <t xml:space="preserve">       Blackburn (7) (CFPL London)</t>
    <phoneticPr fontId="3" type="noConversion"/>
  </si>
  <si>
    <t>0.7 Baton (1993)</t>
    <phoneticPr fontId="0" type="noConversion"/>
  </si>
  <si>
    <t xml:space="preserve">       MidCanada Comm (8)</t>
    <phoneticPr fontId="3" type="noConversion"/>
  </si>
  <si>
    <t>Baton (1989)</t>
    <phoneticPr fontId="0" type="noConversion"/>
  </si>
  <si>
    <t xml:space="preserve">       Huron Broadcasting</t>
    <phoneticPr fontId="3" type="noConversion"/>
  </si>
  <si>
    <t xml:space="preserve">       Yorkton TV</t>
    <phoneticPr fontId="3" type="noConversion"/>
  </si>
  <si>
    <t xml:space="preserve">       Sunwapta</t>
    <phoneticPr fontId="3" type="noConversion"/>
  </si>
  <si>
    <t>0.5 Electrohome</t>
    <phoneticPr fontId="0" type="noConversion"/>
  </si>
  <si>
    <t xml:space="preserve">  CHUM</t>
    <phoneticPr fontId="3" type="noConversion"/>
  </si>
  <si>
    <t>CTV &amp; Rogers (2007)</t>
    <phoneticPr fontId="3" type="noConversion"/>
  </si>
  <si>
    <t>Shaw/Corus (9)</t>
    <phoneticPr fontId="3" type="noConversion"/>
  </si>
  <si>
    <t xml:space="preserve">  Shaw</t>
    <phoneticPr fontId="0" type="noConversion"/>
  </si>
  <si>
    <t xml:space="preserve">  Corus</t>
    <phoneticPr fontId="0" type="noConversion"/>
  </si>
  <si>
    <t>Canwest (10)</t>
    <phoneticPr fontId="3" type="noConversion"/>
  </si>
  <si>
    <t>Shaw</t>
    <phoneticPr fontId="0" type="noConversion"/>
  </si>
  <si>
    <t xml:space="preserve">  Alliance Atlantis (11)</t>
    <phoneticPr fontId="3" type="noConversion"/>
  </si>
  <si>
    <t>Canwest 2007</t>
    <phoneticPr fontId="0" type="noConversion"/>
  </si>
  <si>
    <t xml:space="preserve">    Atlantis</t>
    <phoneticPr fontId="3" type="noConversion"/>
  </si>
  <si>
    <t>Alliance</t>
    <phoneticPr fontId="0" type="noConversion"/>
  </si>
  <si>
    <t xml:space="preserve">  WIC (12)</t>
    <phoneticPr fontId="3" type="noConversion"/>
  </si>
  <si>
    <t xml:space="preserve">    Allarcom</t>
    <phoneticPr fontId="3" type="noConversion"/>
  </si>
  <si>
    <t>WIC (1991)</t>
    <phoneticPr fontId="0" type="noConversion"/>
  </si>
  <si>
    <t>CBC/ Radio Canada (13)</t>
    <phoneticPr fontId="3" type="noConversion"/>
  </si>
  <si>
    <t>Rogers (14)</t>
    <phoneticPr fontId="3" type="noConversion"/>
  </si>
  <si>
    <t>Television Ownership Groups, Revenues ($millions) and Concentration Levels, 1984-2012 (1)</t>
    <phoneticPr fontId="3" type="noConversion"/>
  </si>
  <si>
    <t>2008 (2)</t>
  </si>
  <si>
    <t>Bell Astral</t>
  </si>
  <si>
    <t>Bell</t>
  </si>
  <si>
    <t xml:space="preserve">  CTVGlobemedia (2)</t>
  </si>
  <si>
    <t xml:space="preserve">    Bell Globemedia (3)</t>
  </si>
  <si>
    <t>CTVgm</t>
  </si>
  <si>
    <t xml:space="preserve">      Baton (4)</t>
  </si>
  <si>
    <t>457 Baton (17)</t>
  </si>
  <si>
    <t>BCE (03/2000)</t>
  </si>
  <si>
    <t xml:space="preserve">        Netstar</t>
  </si>
  <si>
    <t xml:space="preserve">        Electrohome (5)</t>
  </si>
  <si>
    <t>64.2 (Baton 1997)</t>
  </si>
  <si>
    <t xml:space="preserve">        Moffatt</t>
  </si>
  <si>
    <t>25.6 (Baton (1997)</t>
  </si>
  <si>
    <t xml:space="preserve">       Blackburn (6) (CFPL London)</t>
  </si>
  <si>
    <t>20 Baton (1993)</t>
  </si>
  <si>
    <t xml:space="preserve">       MidCanada Comm </t>
  </si>
  <si>
    <t>Baton (1989)</t>
  </si>
  <si>
    <t xml:space="preserve">       Huron Broadcasting</t>
  </si>
  <si>
    <t xml:space="preserve">       Yorkton TV</t>
  </si>
  <si>
    <t xml:space="preserve">       Sunwapta</t>
  </si>
  <si>
    <t>10.6 (Electrohome)</t>
  </si>
  <si>
    <t xml:space="preserve">  CHUM (8)</t>
  </si>
  <si>
    <t>CTV Rogers (2007) (10)</t>
  </si>
  <si>
    <t>Shaw + Corus (9)</t>
  </si>
  <si>
    <t xml:space="preserve">  Shaw</t>
  </si>
  <si>
    <t xml:space="preserve">  Corus</t>
  </si>
  <si>
    <t>Canwest (10)</t>
  </si>
  <si>
    <t>Shaw</t>
  </si>
  <si>
    <t xml:space="preserve">  Alliance Atlantis (11)</t>
  </si>
  <si>
    <t>Canwest (2007)</t>
  </si>
  <si>
    <t xml:space="preserve">    Atlantis</t>
  </si>
  <si>
    <t>Alliance</t>
  </si>
  <si>
    <t xml:space="preserve">  WIC (12)</t>
  </si>
  <si>
    <t>381.8 Canwest</t>
  </si>
  <si>
    <t xml:space="preserve">    Allarcom</t>
  </si>
  <si>
    <t>WIC (1991)</t>
  </si>
  <si>
    <t>CBC/ Radio Canada (13)</t>
  </si>
  <si>
    <t>Rogers (14)</t>
  </si>
  <si>
    <t xml:space="preserve">  Maclean Hunter (15)</t>
  </si>
  <si>
    <t>122.9 (21)</t>
  </si>
  <si>
    <t>Rogers (1994)</t>
  </si>
  <si>
    <t xml:space="preserve">  Selkirk (16)</t>
  </si>
  <si>
    <t>95.5 Maclean</t>
  </si>
  <si>
    <t>Astral (17)</t>
  </si>
  <si>
    <t>Quebecor (18)</t>
  </si>
  <si>
    <t xml:space="preserve">  Videotron (19)</t>
  </si>
  <si>
    <t>QMI</t>
  </si>
  <si>
    <t xml:space="preserve">  TeleMetropole (TVA) (20)</t>
  </si>
  <si>
    <t>Videotron (1987)</t>
  </si>
  <si>
    <t xml:space="preserve">  Pathonic (21)</t>
  </si>
  <si>
    <t>Videotron (25)</t>
  </si>
  <si>
    <t>V Interactions (Remstar)</t>
  </si>
  <si>
    <t>Cogeco TQS (2001-8) (22)</t>
  </si>
  <si>
    <t>113.3 (Remstar)</t>
  </si>
  <si>
    <t xml:space="preserve">  TQS (CFCF/Pouliot) (23)</t>
  </si>
  <si>
    <t>QMI &amp; Consortium (20)</t>
  </si>
  <si>
    <t>Pelmorex</t>
  </si>
  <si>
    <t>Radio Nord (24)</t>
  </si>
  <si>
    <t>Fairchild</t>
  </si>
  <si>
    <t>Blue Ant</t>
  </si>
  <si>
    <t xml:space="preserve">Craig </t>
  </si>
  <si>
    <t>63.4 CHUM &amp; QBC (15)</t>
  </si>
  <si>
    <t>Conventional TV $</t>
  </si>
  <si>
    <t>Spec and Pay TV $</t>
  </si>
  <si>
    <t>Total TV $</t>
  </si>
  <si>
    <t>C4</t>
  </si>
  <si>
    <t>HHI</t>
    <phoneticPr fontId="3" type="noConversion"/>
  </si>
  <si>
    <t>See Notes and Sources Appendix.</t>
  </si>
  <si>
    <t>Television Ownership Groups, Market Shares (Percentage based on $) and Concentration Levels, 1984-2011 (1)</t>
    <phoneticPr fontId="3" type="noConversion"/>
  </si>
  <si>
    <t>2008(2)</t>
    <phoneticPr fontId="3" type="noConversion"/>
  </si>
  <si>
    <t>Bell- Astral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</si>
</sst>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8">
    <font>
      <sz val="12"/>
      <color indexed="8"/>
      <name val="Calibri"/>
      <family val="2"/>
    </font>
    <font>
      <sz val="10"/>
      <name val="Verdana"/>
    </font>
    <font>
      <b/>
      <sz val="12"/>
      <name val="Cambria"/>
    </font>
    <font>
      <sz val="8"/>
      <name val="Verdana"/>
    </font>
    <font>
      <sz val="12"/>
      <name val="Cambria"/>
    </font>
    <font>
      <sz val="12"/>
      <name val="Calibri"/>
    </font>
    <font>
      <sz val="10"/>
      <name val="Cambria"/>
    </font>
    <font>
      <sz val="10"/>
      <name val="Geneva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color indexed="8"/>
      <name val="Cambria"/>
    </font>
    <font>
      <sz val="12"/>
      <color indexed="10"/>
      <name val="Cambria"/>
    </font>
    <font>
      <sz val="12"/>
      <color indexed="8"/>
      <name val="Cambria"/>
    </font>
    <font>
      <u/>
      <sz val="10"/>
      <color indexed="12"/>
      <name val="Verdana"/>
      <family val="2"/>
    </font>
    <font>
      <sz val="12"/>
      <color indexed="8"/>
      <name val="Verdana"/>
    </font>
    <font>
      <b/>
      <sz val="12"/>
      <color indexed="8"/>
      <name val="Verdana"/>
    </font>
    <font>
      <sz val="12"/>
      <color indexed="16"/>
      <name val="Cambria"/>
    </font>
    <font>
      <sz val="12"/>
      <color indexed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2" borderId="0" xfId="0" applyFont="1" applyFill="1"/>
    <xf numFmtId="164" fontId="1" fillId="0" borderId="0" xfId="2" applyNumberFormat="1" applyFont="1" applyFill="1"/>
    <xf numFmtId="164" fontId="4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0" borderId="0" xfId="2" applyFont="1" applyFill="1"/>
    <xf numFmtId="0" fontId="1" fillId="0" borderId="0" xfId="2" applyFont="1"/>
    <xf numFmtId="0" fontId="1" fillId="2" borderId="0" xfId="2" applyFont="1" applyFill="1"/>
    <xf numFmtId="0" fontId="2" fillId="2" borderId="0" xfId="0" applyFont="1" applyFill="1"/>
    <xf numFmtId="0" fontId="4" fillId="0" borderId="0" xfId="0" applyFont="1" applyFill="1" applyBorder="1"/>
    <xf numFmtId="164" fontId="6" fillId="0" borderId="0" xfId="3" applyNumberFormat="1" applyFont="1" applyFill="1" applyBorder="1" applyAlignment="1">
      <alignment horizontal="right" wrapText="1"/>
    </xf>
    <xf numFmtId="164" fontId="4" fillId="0" borderId="0" xfId="3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Fill="1"/>
    <xf numFmtId="164" fontId="5" fillId="2" borderId="0" xfId="0" applyNumberFormat="1" applyFont="1" applyFill="1"/>
    <xf numFmtId="0" fontId="6" fillId="0" borderId="0" xfId="3" applyFont="1" applyFill="1"/>
    <xf numFmtId="164" fontId="4" fillId="0" borderId="0" xfId="4" applyNumberFormat="1" applyFont="1" applyAlignment="1">
      <alignment horizontal="right"/>
    </xf>
    <xf numFmtId="164" fontId="4" fillId="0" borderId="0" xfId="0" applyNumberFormat="1" applyFont="1"/>
    <xf numFmtId="164" fontId="4" fillId="2" borderId="0" xfId="0" applyNumberFormat="1" applyFont="1" applyFill="1"/>
    <xf numFmtId="0" fontId="4" fillId="0" borderId="0" xfId="2" applyFont="1" applyFill="1"/>
    <xf numFmtId="0" fontId="10" fillId="0" borderId="1" xfId="0" applyFont="1" applyBorder="1"/>
    <xf numFmtId="0" fontId="11" fillId="0" borderId="0" xfId="0" applyFont="1"/>
    <xf numFmtId="0" fontId="2" fillId="0" borderId="0" xfId="0" applyFont="1"/>
    <xf numFmtId="0" fontId="12" fillId="0" borderId="0" xfId="0" applyFont="1" applyFill="1"/>
    <xf numFmtId="164" fontId="0" fillId="2" borderId="0" xfId="0" applyNumberFormat="1" applyFill="1"/>
    <xf numFmtId="49" fontId="1" fillId="0" borderId="0" xfId="3" applyNumberFormat="1" applyFont="1"/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horizontal="right" wrapText="1"/>
    </xf>
    <xf numFmtId="0" fontId="4" fillId="0" borderId="0" xfId="5" applyFont="1" applyFill="1" applyBorder="1" applyAlignment="1" applyProtection="1">
      <alignment horizontal="right" wrapText="1"/>
    </xf>
    <xf numFmtId="0" fontId="4" fillId="0" borderId="0" xfId="3" applyFont="1" applyFill="1" applyAlignment="1">
      <alignment horizontal="right"/>
    </xf>
    <xf numFmtId="0" fontId="1" fillId="0" borderId="0" xfId="3" applyFont="1"/>
    <xf numFmtId="0" fontId="4" fillId="0" borderId="0" xfId="0" applyFont="1" applyBorder="1"/>
    <xf numFmtId="164" fontId="4" fillId="0" borderId="0" xfId="5" applyNumberFormat="1" applyFont="1" applyFill="1" applyBorder="1" applyAlignment="1" applyProtection="1">
      <alignment horizontal="right" wrapText="1"/>
    </xf>
    <xf numFmtId="164" fontId="4" fillId="0" borderId="0" xfId="3" applyNumberFormat="1" applyFont="1" applyFill="1" applyBorder="1" applyAlignment="1">
      <alignment horizontal="right"/>
    </xf>
    <xf numFmtId="0" fontId="4" fillId="0" borderId="0" xfId="0" applyFont="1"/>
    <xf numFmtId="164" fontId="4" fillId="0" borderId="0" xfId="1" applyNumberFormat="1" applyFont="1" applyFill="1" applyBorder="1" applyAlignment="1">
      <alignment horizontal="right" wrapText="1"/>
    </xf>
    <xf numFmtId="164" fontId="4" fillId="0" borderId="0" xfId="3" applyNumberFormat="1" applyFont="1" applyFill="1" applyAlignment="1">
      <alignment horizontal="right"/>
    </xf>
    <xf numFmtId="164" fontId="0" fillId="3" borderId="0" xfId="0" applyNumberFormat="1" applyFill="1"/>
    <xf numFmtId="164" fontId="1" fillId="0" borderId="0" xfId="3" applyNumberFormat="1" applyFont="1"/>
    <xf numFmtId="164" fontId="4" fillId="0" borderId="0" xfId="3" applyNumberFormat="1" applyFont="1" applyFill="1"/>
    <xf numFmtId="164" fontId="12" fillId="2" borderId="0" xfId="0" applyNumberFormat="1" applyFont="1" applyFill="1"/>
    <xf numFmtId="164" fontId="2" fillId="0" borderId="0" xfId="3" applyNumberFormat="1" applyFont="1" applyFill="1"/>
    <xf numFmtId="0" fontId="1" fillId="0" borderId="0" xfId="3" applyNumberFormat="1" applyFont="1"/>
    <xf numFmtId="164" fontId="4" fillId="0" borderId="0" xfId="3" applyNumberFormat="1" applyFont="1" applyFill="1" applyAlignment="1">
      <alignment horizontal="right" wrapText="1"/>
    </xf>
    <xf numFmtId="164" fontId="4" fillId="0" borderId="0" xfId="0" applyNumberFormat="1" applyFont="1" applyAlignment="1"/>
    <xf numFmtId="164" fontId="4" fillId="0" borderId="0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/>
    <xf numFmtId="164" fontId="12" fillId="0" borderId="0" xfId="0" applyNumberFormat="1" applyFont="1" applyFill="1" applyBorder="1" applyAlignment="1"/>
    <xf numFmtId="0" fontId="14" fillId="0" borderId="0" xfId="0" applyFont="1"/>
    <xf numFmtId="164" fontId="4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/>
    <xf numFmtId="164" fontId="4" fillId="0" borderId="0" xfId="2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0" fontId="2" fillId="0" borderId="0" xfId="0" applyNumberFormat="1" applyFont="1" applyBorder="1"/>
    <xf numFmtId="0" fontId="10" fillId="0" borderId="0" xfId="0" applyFont="1"/>
    <xf numFmtId="164" fontId="10" fillId="0" borderId="0" xfId="0" applyNumberFormat="1" applyFont="1" applyFill="1" applyBorder="1"/>
    <xf numFmtId="164" fontId="2" fillId="0" borderId="0" xfId="0" applyNumberFormat="1" applyFont="1" applyFill="1" applyBorder="1"/>
    <xf numFmtId="164" fontId="10" fillId="2" borderId="0" xfId="0" applyNumberFormat="1" applyFont="1" applyFill="1"/>
    <xf numFmtId="0" fontId="15" fillId="0" borderId="0" xfId="0" applyFont="1"/>
    <xf numFmtId="164" fontId="12" fillId="0" borderId="0" xfId="0" applyNumberFormat="1" applyFont="1" applyFill="1"/>
    <xf numFmtId="0" fontId="16" fillId="4" borderId="0" xfId="6" applyFont="1" applyBorder="1" applyAlignment="1">
      <alignment vertical="top" wrapText="1"/>
    </xf>
    <xf numFmtId="164" fontId="16" fillId="4" borderId="0" xfId="6" applyNumberFormat="1" applyFont="1" applyBorder="1" applyAlignment="1">
      <alignment horizontal="right" wrapText="1"/>
    </xf>
    <xf numFmtId="164" fontId="16" fillId="4" borderId="0" xfId="6" applyNumberFormat="1" applyFont="1" applyAlignment="1">
      <alignment horizontal="right"/>
    </xf>
    <xf numFmtId="164" fontId="4" fillId="4" borderId="0" xfId="6" applyNumberFormat="1" applyFont="1" applyBorder="1" applyAlignment="1">
      <alignment horizontal="right" wrapText="1"/>
    </xf>
    <xf numFmtId="164" fontId="4" fillId="4" borderId="0" xfId="6" applyNumberFormat="1" applyFont="1"/>
    <xf numFmtId="164" fontId="16" fillId="4" borderId="0" xfId="6" applyNumberFormat="1" applyFont="1"/>
    <xf numFmtId="164" fontId="16" fillId="4" borderId="0" xfId="6" applyNumberFormat="1" applyFont="1" applyAlignment="1">
      <alignment horizontal="right" wrapText="1"/>
    </xf>
    <xf numFmtId="164" fontId="16" fillId="4" borderId="0" xfId="6" applyNumberFormat="1" applyFont="1" applyAlignment="1">
      <alignment vertical="top" wrapText="1"/>
    </xf>
    <xf numFmtId="0" fontId="0" fillId="0" borderId="0" xfId="0" applyFont="1"/>
    <xf numFmtId="0" fontId="4" fillId="0" borderId="0" xfId="3" applyFont="1"/>
    <xf numFmtId="0" fontId="2" fillId="0" borderId="0" xfId="3" applyFont="1"/>
    <xf numFmtId="0" fontId="2" fillId="0" borderId="0" xfId="3" applyFont="1" applyFill="1"/>
    <xf numFmtId="0" fontId="4" fillId="0" borderId="0" xfId="3" applyFont="1" applyFill="1"/>
  </cellXfs>
  <cellStyles count="7">
    <cellStyle name="Bad" xfId="6"/>
    <cellStyle name="Comma" xfId="1" builtinId="3"/>
    <cellStyle name="Hyperlink" xfId="5" builtinId="8"/>
    <cellStyle name="Normal" xfId="0" builtinId="0"/>
    <cellStyle name="Normal 2" xfId="3"/>
    <cellStyle name="Normal 2 2" xfId="2"/>
    <cellStyle name="Normal_Sheet7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55"/>
  <sheetViews>
    <sheetView topLeftCell="D2" workbookViewId="0">
      <selection activeCell="R13" sqref="R13"/>
    </sheetView>
  </sheetViews>
  <sheetFormatPr baseColWidth="10" defaultColWidth="8.33203125" defaultRowHeight="15"/>
  <cols>
    <col min="1" max="1" width="19.83203125" style="2" customWidth="1"/>
    <col min="2" max="2" width="11.5" style="2" customWidth="1"/>
    <col min="3" max="3" width="12.5" style="2" customWidth="1"/>
    <col min="4" max="4" width="11.83203125" style="2" customWidth="1"/>
    <col min="5" max="6" width="8.33203125" style="2"/>
    <col min="7" max="7" width="11.6640625" style="2" customWidth="1"/>
    <col min="8" max="8" width="8.33203125" style="2"/>
    <col min="9" max="9" width="11.1640625" style="1" customWidth="1"/>
    <col min="10" max="10" width="9.33203125" style="1" customWidth="1"/>
    <col min="11" max="11" width="10.33203125" style="1" customWidth="1"/>
    <col min="12" max="12" width="8.33203125" style="2"/>
    <col min="13" max="13" width="9.6640625" style="2" customWidth="1"/>
    <col min="14" max="14" width="10.1640625" style="2" customWidth="1"/>
    <col min="15" max="15" width="11.6640625" style="2" customWidth="1"/>
    <col min="16" max="16" width="11.6640625" style="6" customWidth="1"/>
    <col min="17" max="17" width="8.33203125" style="6"/>
    <col min="18" max="18" width="9.6640625" style="6" customWidth="1"/>
    <col min="19" max="16384" width="8.33203125" style="6"/>
  </cols>
  <sheetData>
    <row r="1" spans="1:20" s="2" customFormat="1">
      <c r="A1" s="1" t="s">
        <v>60</v>
      </c>
      <c r="P1" s="3"/>
    </row>
    <row r="2" spans="1:20" s="2" customFormat="1">
      <c r="B2" s="2">
        <v>1984</v>
      </c>
      <c r="C2" s="2">
        <v>1988</v>
      </c>
      <c r="D2" s="2">
        <v>1990</v>
      </c>
      <c r="E2" s="2">
        <v>1992</v>
      </c>
      <c r="F2" s="2">
        <v>1996</v>
      </c>
      <c r="G2" s="2">
        <v>1998</v>
      </c>
      <c r="H2" s="2">
        <v>2000</v>
      </c>
      <c r="I2" s="2">
        <v>2002</v>
      </c>
      <c r="J2" s="2">
        <v>2004</v>
      </c>
      <c r="K2" s="2">
        <v>2006</v>
      </c>
      <c r="L2" s="2" t="s">
        <v>61</v>
      </c>
      <c r="M2" s="2">
        <v>2010</v>
      </c>
      <c r="N2" s="2">
        <v>2011</v>
      </c>
      <c r="O2" s="2">
        <v>2012</v>
      </c>
      <c r="P2" s="3" t="s">
        <v>62</v>
      </c>
    </row>
    <row r="3" spans="1:20" s="2" customFormat="1">
      <c r="A3" s="2" t="s">
        <v>63</v>
      </c>
      <c r="L3" s="2">
        <v>51.7</v>
      </c>
      <c r="M3" s="2">
        <v>59.2</v>
      </c>
      <c r="N3" s="2">
        <v>1820.9</v>
      </c>
      <c r="O3" s="2">
        <v>1916.1</v>
      </c>
      <c r="P3" s="3">
        <v>2323.3000000000002</v>
      </c>
    </row>
    <row r="4" spans="1:20" s="2" customFormat="1">
      <c r="A4" s="2" t="s">
        <v>64</v>
      </c>
      <c r="L4" s="2">
        <v>1505.7</v>
      </c>
      <c r="M4" s="2">
        <v>1691.8</v>
      </c>
      <c r="N4" s="2" t="s">
        <v>63</v>
      </c>
      <c r="P4" s="3"/>
    </row>
    <row r="5" spans="1:20" s="2" customFormat="1">
      <c r="A5" s="2" t="s">
        <v>65</v>
      </c>
      <c r="H5" s="2">
        <v>12.3</v>
      </c>
      <c r="I5" s="2">
        <v>843.5</v>
      </c>
      <c r="J5" s="2">
        <v>981.9</v>
      </c>
      <c r="K5" s="2">
        <v>1167.7</v>
      </c>
      <c r="L5" s="2" t="s">
        <v>66</v>
      </c>
      <c r="P5" s="3"/>
    </row>
    <row r="6" spans="1:20" s="2" customFormat="1">
      <c r="A6" s="2" t="s">
        <v>67</v>
      </c>
      <c r="B6" s="2">
        <v>144.6</v>
      </c>
      <c r="C6" s="2">
        <v>224</v>
      </c>
      <c r="D6" s="2">
        <v>165.2</v>
      </c>
      <c r="E6" s="2">
        <v>188.4</v>
      </c>
      <c r="F6" s="2">
        <v>216.2</v>
      </c>
      <c r="G6" s="2" t="s">
        <v>68</v>
      </c>
      <c r="H6" s="2">
        <v>736.6</v>
      </c>
      <c r="I6" s="2" t="s">
        <v>69</v>
      </c>
      <c r="P6" s="3"/>
    </row>
    <row r="7" spans="1:20" s="2" customFormat="1">
      <c r="A7" s="2" t="s">
        <v>70</v>
      </c>
      <c r="C7" s="2">
        <v>31.1</v>
      </c>
      <c r="D7" s="2">
        <v>77.900000000000006</v>
      </c>
      <c r="E7" s="2">
        <v>95.1</v>
      </c>
      <c r="F7" s="2">
        <v>203.6</v>
      </c>
      <c r="G7" s="2">
        <v>236.9</v>
      </c>
      <c r="P7" s="3"/>
    </row>
    <row r="8" spans="1:20" s="2" customFormat="1">
      <c r="A8" s="2" t="s">
        <v>71</v>
      </c>
      <c r="B8" s="2">
        <v>17.899999999999999</v>
      </c>
      <c r="C8" s="2">
        <v>46.3</v>
      </c>
      <c r="D8" s="2">
        <v>55.8</v>
      </c>
      <c r="E8" s="2">
        <v>59</v>
      </c>
      <c r="F8" s="2">
        <v>61.3</v>
      </c>
      <c r="G8" s="2" t="s">
        <v>72</v>
      </c>
      <c r="P8" s="3"/>
    </row>
    <row r="9" spans="1:20" s="2" customFormat="1">
      <c r="A9" s="2" t="s">
        <v>73</v>
      </c>
      <c r="B9" s="2">
        <v>14.9</v>
      </c>
      <c r="C9" s="2">
        <v>17.600000000000001</v>
      </c>
      <c r="D9" s="2">
        <v>19.7</v>
      </c>
      <c r="E9" s="2">
        <v>15.1</v>
      </c>
      <c r="F9" s="2">
        <v>19.8</v>
      </c>
      <c r="G9" s="2" t="s">
        <v>74</v>
      </c>
      <c r="P9" s="3"/>
    </row>
    <row r="10" spans="1:20" s="2" customFormat="1">
      <c r="A10" s="2" t="s">
        <v>75</v>
      </c>
      <c r="B10" s="2">
        <v>15.7</v>
      </c>
      <c r="C10" s="2">
        <v>17</v>
      </c>
      <c r="D10" s="2">
        <v>18.399999999999999</v>
      </c>
      <c r="E10" s="2" t="s">
        <v>76</v>
      </c>
      <c r="P10" s="3"/>
      <c r="R10" s="4"/>
      <c r="S10" s="4"/>
      <c r="T10" s="4"/>
    </row>
    <row r="11" spans="1:20" s="2" customFormat="1">
      <c r="A11" s="2" t="s">
        <v>77</v>
      </c>
      <c r="B11" s="2">
        <v>16.3</v>
      </c>
      <c r="C11" s="2">
        <v>19.2</v>
      </c>
      <c r="D11" s="2" t="s">
        <v>78</v>
      </c>
      <c r="P11" s="3"/>
    </row>
    <row r="12" spans="1:20" s="2" customFormat="1">
      <c r="A12" s="2" t="s">
        <v>79</v>
      </c>
      <c r="B12" s="2">
        <v>4.4000000000000004</v>
      </c>
      <c r="C12" s="2">
        <v>5.0999999999999996</v>
      </c>
      <c r="D12" s="2" t="s">
        <v>78</v>
      </c>
      <c r="P12" s="3"/>
      <c r="R12" s="5"/>
      <c r="S12" s="5"/>
      <c r="T12" s="5"/>
    </row>
    <row r="13" spans="1:20" s="2" customFormat="1">
      <c r="A13" s="2" t="s">
        <v>80</v>
      </c>
      <c r="B13" s="2">
        <v>5.6</v>
      </c>
      <c r="C13" s="2">
        <v>6.1</v>
      </c>
      <c r="D13" s="2" t="s">
        <v>78</v>
      </c>
      <c r="P13" s="3"/>
    </row>
    <row r="14" spans="1:20" s="2" customFormat="1">
      <c r="A14" s="2" t="s">
        <v>81</v>
      </c>
      <c r="B14" s="2">
        <v>9</v>
      </c>
      <c r="C14" s="2" t="s">
        <v>82</v>
      </c>
      <c r="P14" s="3"/>
    </row>
    <row r="15" spans="1:20" s="2" customFormat="1">
      <c r="A15" s="2" t="s">
        <v>83</v>
      </c>
      <c r="B15" s="2">
        <v>73.900000000000006</v>
      </c>
      <c r="C15" s="2">
        <v>113</v>
      </c>
      <c r="D15" s="2">
        <v>129</v>
      </c>
      <c r="E15" s="2">
        <v>142.4</v>
      </c>
      <c r="F15" s="2">
        <v>162.9</v>
      </c>
      <c r="G15" s="2">
        <v>195</v>
      </c>
      <c r="H15" s="2">
        <v>225.9</v>
      </c>
      <c r="I15" s="2">
        <v>316.10000000000002</v>
      </c>
      <c r="J15" s="2">
        <v>375.9</v>
      </c>
      <c r="K15" s="2">
        <v>478.2</v>
      </c>
      <c r="L15" s="2" t="s">
        <v>84</v>
      </c>
      <c r="P15" s="3"/>
      <c r="R15" s="6"/>
      <c r="S15" s="6"/>
      <c r="T15" s="6"/>
    </row>
    <row r="16" spans="1:20" s="2" customFormat="1">
      <c r="A16" s="2" t="s">
        <v>85</v>
      </c>
      <c r="F16" s="2">
        <v>24.6</v>
      </c>
      <c r="G16" s="2">
        <v>79.400000000000006</v>
      </c>
      <c r="H16" s="2">
        <v>143</v>
      </c>
      <c r="I16" s="2">
        <v>284.7</v>
      </c>
      <c r="J16" s="2">
        <v>349</v>
      </c>
      <c r="K16" s="2">
        <v>422.5</v>
      </c>
      <c r="L16" s="2">
        <v>512.20000000000005</v>
      </c>
      <c r="M16" s="2">
        <v>1496.8999999999999</v>
      </c>
      <c r="N16" s="2">
        <v>1645.9</v>
      </c>
      <c r="O16" s="2">
        <v>1587.2</v>
      </c>
      <c r="P16" s="3">
        <v>1681.3</v>
      </c>
      <c r="R16" s="7"/>
      <c r="S16" s="6"/>
      <c r="T16" s="7"/>
    </row>
    <row r="17" spans="1:16" s="2" customFormat="1">
      <c r="A17" s="2" t="s">
        <v>86</v>
      </c>
      <c r="F17" s="2">
        <v>0</v>
      </c>
      <c r="H17" s="2">
        <v>0</v>
      </c>
      <c r="J17" s="2">
        <v>16.7</v>
      </c>
      <c r="K17" s="2">
        <v>20.6</v>
      </c>
      <c r="L17" s="2">
        <v>62</v>
      </c>
      <c r="M17" s="2">
        <v>977.7</v>
      </c>
      <c r="N17" s="2">
        <v>1062.0999999999999</v>
      </c>
      <c r="O17" s="2">
        <v>994.2</v>
      </c>
      <c r="P17" s="3">
        <v>981.7</v>
      </c>
    </row>
    <row r="18" spans="1:16" s="2" customFormat="1">
      <c r="A18" s="2" t="s">
        <v>87</v>
      </c>
      <c r="F18" s="2">
        <v>24.6</v>
      </c>
      <c r="G18" s="2">
        <v>79.400000000000006</v>
      </c>
      <c r="H18" s="2">
        <v>143</v>
      </c>
      <c r="I18" s="2">
        <v>284.72859929252201</v>
      </c>
      <c r="J18" s="2">
        <v>332.3</v>
      </c>
      <c r="K18" s="2">
        <v>401.9</v>
      </c>
      <c r="L18" s="2">
        <v>450.2</v>
      </c>
      <c r="M18" s="2">
        <v>543</v>
      </c>
      <c r="N18" s="2">
        <v>583.79999999999995</v>
      </c>
      <c r="O18" s="2">
        <v>593</v>
      </c>
      <c r="P18" s="3">
        <v>699.6</v>
      </c>
    </row>
    <row r="19" spans="1:16" s="2" customFormat="1">
      <c r="A19" s="2" t="s">
        <v>88</v>
      </c>
      <c r="B19" s="2">
        <v>84.8</v>
      </c>
      <c r="C19" s="2">
        <v>141.6</v>
      </c>
      <c r="D19" s="2">
        <v>212.4</v>
      </c>
      <c r="E19" s="2">
        <v>243.9</v>
      </c>
      <c r="F19" s="2">
        <v>336</v>
      </c>
      <c r="G19" s="2">
        <v>411.4</v>
      </c>
      <c r="H19" s="2">
        <v>616.20000000000005</v>
      </c>
      <c r="I19" s="2">
        <v>653.70000000000005</v>
      </c>
      <c r="J19" s="2">
        <v>712.7</v>
      </c>
      <c r="K19" s="2">
        <v>640.70000000000005</v>
      </c>
      <c r="L19" s="2">
        <v>1061.5</v>
      </c>
      <c r="M19" s="2" t="s">
        <v>89</v>
      </c>
      <c r="P19" s="3"/>
    </row>
    <row r="20" spans="1:16" s="2" customFormat="1">
      <c r="A20" s="2" t="s">
        <v>90</v>
      </c>
      <c r="F20" s="2">
        <v>18</v>
      </c>
      <c r="G20" s="2">
        <v>77.2</v>
      </c>
      <c r="H20" s="2">
        <v>101.3</v>
      </c>
      <c r="I20" s="2">
        <v>148.19999999999999</v>
      </c>
      <c r="J20" s="2">
        <v>239.1</v>
      </c>
      <c r="K20" s="2">
        <v>310.5</v>
      </c>
      <c r="L20" s="2" t="s">
        <v>91</v>
      </c>
      <c r="P20" s="3"/>
    </row>
    <row r="21" spans="1:16" s="2" customFormat="1">
      <c r="A21" s="2" t="s">
        <v>92</v>
      </c>
      <c r="D21" s="2">
        <v>7.5</v>
      </c>
      <c r="E21" s="2">
        <v>8.9</v>
      </c>
      <c r="F21" s="2">
        <v>34.700000000000003</v>
      </c>
      <c r="G21" s="2" t="s">
        <v>93</v>
      </c>
      <c r="P21" s="3"/>
    </row>
    <row r="22" spans="1:16" s="2" customFormat="1">
      <c r="A22" s="2" t="s">
        <v>94</v>
      </c>
      <c r="B22" s="2">
        <v>58.4</v>
      </c>
      <c r="C22" s="2">
        <v>72.5</v>
      </c>
      <c r="D22" s="2">
        <v>143.80000000000001</v>
      </c>
      <c r="E22" s="2">
        <v>227.5</v>
      </c>
      <c r="F22" s="2">
        <v>18</v>
      </c>
      <c r="G22" s="2" t="s">
        <v>95</v>
      </c>
      <c r="P22" s="3"/>
    </row>
    <row r="23" spans="1:16" s="2" customFormat="1">
      <c r="A23" s="2" t="s">
        <v>96</v>
      </c>
      <c r="C23" s="2">
        <v>18.7</v>
      </c>
      <c r="D23" s="2">
        <v>19.100000000000001</v>
      </c>
      <c r="E23" s="2" t="s">
        <v>97</v>
      </c>
      <c r="F23" s="2">
        <v>34.700000000000003</v>
      </c>
      <c r="P23" s="3"/>
    </row>
    <row r="24" spans="1:16" s="2" customFormat="1">
      <c r="A24" s="2" t="s">
        <v>98</v>
      </c>
      <c r="B24" s="2">
        <v>848.3</v>
      </c>
      <c r="C24" s="2">
        <v>857.3</v>
      </c>
      <c r="D24" s="2">
        <v>1049.0999999999999</v>
      </c>
      <c r="E24" s="2">
        <v>1010.1</v>
      </c>
      <c r="F24" s="2">
        <v>956.3</v>
      </c>
      <c r="G24" s="2">
        <v>1017.4</v>
      </c>
      <c r="H24" s="2">
        <v>1055.5999999999999</v>
      </c>
      <c r="I24" s="2">
        <v>1137.8</v>
      </c>
      <c r="J24" s="2">
        <f>1055.1+123</f>
        <v>1178.0999999999999</v>
      </c>
      <c r="K24" s="2">
        <v>1186</v>
      </c>
      <c r="L24" s="2">
        <v>1386.9</v>
      </c>
      <c r="M24" s="2">
        <v>1425.3</v>
      </c>
      <c r="N24" s="2">
        <v>1498.3</v>
      </c>
      <c r="O24" s="2">
        <v>1536.9</v>
      </c>
      <c r="P24" s="3">
        <v>1532.8</v>
      </c>
    </row>
    <row r="25" spans="1:16" s="2" customFormat="1">
      <c r="A25" s="2" t="s">
        <v>99</v>
      </c>
      <c r="B25" s="2">
        <v>15.7</v>
      </c>
      <c r="C25" s="2">
        <v>36.4</v>
      </c>
      <c r="D25" s="2">
        <v>52.9</v>
      </c>
      <c r="E25" s="2">
        <v>51.2</v>
      </c>
      <c r="F25" s="2">
        <v>169.4</v>
      </c>
      <c r="G25" s="2">
        <v>98</v>
      </c>
      <c r="H25" s="2">
        <v>151.30000000000001</v>
      </c>
      <c r="I25" s="2">
        <v>182.6</v>
      </c>
      <c r="J25" s="2">
        <v>185.6</v>
      </c>
      <c r="K25" s="2">
        <v>297.3</v>
      </c>
      <c r="L25" s="2">
        <v>520.20000000000005</v>
      </c>
      <c r="M25" s="2">
        <v>606.20000000000005</v>
      </c>
      <c r="N25" s="2">
        <v>719.3</v>
      </c>
      <c r="O25" s="2">
        <v>743.4</v>
      </c>
      <c r="P25" s="3">
        <v>738.8</v>
      </c>
    </row>
    <row r="26" spans="1:16" s="2" customFormat="1">
      <c r="A26" s="2" t="s">
        <v>100</v>
      </c>
      <c r="B26" s="2">
        <v>22.6</v>
      </c>
      <c r="C26" s="2">
        <v>104.2</v>
      </c>
      <c r="D26" s="2" t="s">
        <v>101</v>
      </c>
      <c r="E26" s="2">
        <v>130.69999999999999</v>
      </c>
      <c r="F26" s="2" t="s">
        <v>102</v>
      </c>
      <c r="P26" s="3"/>
    </row>
    <row r="27" spans="1:16" s="2" customFormat="1">
      <c r="A27" s="2" t="s">
        <v>103</v>
      </c>
      <c r="B27" s="2" t="s">
        <v>104</v>
      </c>
      <c r="C27" s="2">
        <v>122.8</v>
      </c>
      <c r="P27" s="3"/>
    </row>
    <row r="28" spans="1:16" s="2" customFormat="1">
      <c r="A28" s="2" t="s">
        <v>105</v>
      </c>
      <c r="C28" s="2">
        <v>20.100000000000001</v>
      </c>
      <c r="D28" s="2">
        <v>78.5</v>
      </c>
      <c r="E28" s="2">
        <v>88.9</v>
      </c>
      <c r="F28" s="2">
        <v>110.1</v>
      </c>
      <c r="G28" s="2">
        <v>131.30000000000001</v>
      </c>
      <c r="H28">
        <v>207.7</v>
      </c>
      <c r="I28">
        <v>318.60000000000002</v>
      </c>
      <c r="J28">
        <v>370.8</v>
      </c>
      <c r="K28">
        <v>420.8</v>
      </c>
      <c r="L28">
        <v>490.9</v>
      </c>
      <c r="M28">
        <v>527.9</v>
      </c>
      <c r="N28">
        <v>557.9</v>
      </c>
      <c r="O28">
        <v>561.6</v>
      </c>
      <c r="P28" s="3">
        <v>101.9</v>
      </c>
    </row>
    <row r="29" spans="1:16" s="2" customFormat="1">
      <c r="A29" s="2" t="s">
        <v>106</v>
      </c>
      <c r="G29" s="2">
        <v>52.2</v>
      </c>
      <c r="H29" s="2">
        <v>314.89999999999998</v>
      </c>
      <c r="I29" s="2">
        <v>253.1</v>
      </c>
      <c r="J29" s="2">
        <v>299.60000000000002</v>
      </c>
      <c r="K29" s="2">
        <v>340.9</v>
      </c>
      <c r="L29" s="2">
        <v>305</v>
      </c>
      <c r="M29" s="2">
        <v>344.9</v>
      </c>
      <c r="N29" s="2">
        <v>373.2</v>
      </c>
      <c r="O29" s="2">
        <v>393.2</v>
      </c>
      <c r="P29" s="3">
        <v>383.4</v>
      </c>
    </row>
    <row r="30" spans="1:16" s="2" customFormat="1">
      <c r="A30" s="2" t="s">
        <v>107</v>
      </c>
      <c r="C30" s="2">
        <v>97.8</v>
      </c>
      <c r="D30" s="2">
        <v>131.69999999999999</v>
      </c>
      <c r="E30" s="2">
        <v>158.69999999999999</v>
      </c>
      <c r="F30" s="2">
        <v>211.2</v>
      </c>
      <c r="G30" s="2">
        <v>233</v>
      </c>
      <c r="H30" s="2" t="s">
        <v>108</v>
      </c>
      <c r="P30" s="3"/>
    </row>
    <row r="31" spans="1:16" s="2" customFormat="1">
      <c r="A31" s="2" t="s">
        <v>109</v>
      </c>
      <c r="B31" s="2">
        <v>84.8</v>
      </c>
      <c r="C31" s="2" t="s">
        <v>110</v>
      </c>
      <c r="P31" s="3"/>
    </row>
    <row r="32" spans="1:16" s="2" customFormat="1">
      <c r="A32" s="2" t="s">
        <v>111</v>
      </c>
      <c r="B32" s="2">
        <v>17</v>
      </c>
      <c r="C32" s="2">
        <v>20</v>
      </c>
      <c r="D32" s="2" t="s">
        <v>112</v>
      </c>
      <c r="P32" s="3"/>
    </row>
    <row r="33" spans="1:16" s="2" customFormat="1">
      <c r="A33" s="2" t="s">
        <v>113</v>
      </c>
      <c r="L33" s="2">
        <v>97.7</v>
      </c>
      <c r="M33" s="2">
        <v>61.9</v>
      </c>
      <c r="N33" s="2">
        <v>66.5</v>
      </c>
      <c r="O33" s="2">
        <v>73.2</v>
      </c>
      <c r="P33" s="3">
        <v>73.2</v>
      </c>
    </row>
    <row r="34" spans="1:16" s="2" customFormat="1">
      <c r="A34" s="2" t="s">
        <v>114</v>
      </c>
      <c r="G34" s="2">
        <v>29.3</v>
      </c>
      <c r="H34" s="2">
        <v>37.200000000000003</v>
      </c>
      <c r="I34" s="2">
        <v>84</v>
      </c>
      <c r="J34" s="2">
        <v>113</v>
      </c>
      <c r="K34" s="2">
        <v>107.6</v>
      </c>
      <c r="L34" s="2" t="s">
        <v>115</v>
      </c>
      <c r="P34" s="3"/>
    </row>
    <row r="35" spans="1:16" s="2" customFormat="1">
      <c r="A35" s="2" t="s">
        <v>116</v>
      </c>
      <c r="B35" s="2">
        <v>74.3</v>
      </c>
      <c r="C35" s="2">
        <v>69.8</v>
      </c>
      <c r="D35" s="2">
        <v>108.9</v>
      </c>
      <c r="E35" s="2">
        <v>103.3</v>
      </c>
      <c r="F35" s="2">
        <v>65.099999999999994</v>
      </c>
      <c r="G35" s="2" t="s">
        <v>117</v>
      </c>
      <c r="P35" s="3"/>
    </row>
    <row r="36" spans="1:16" s="2" customFormat="1">
      <c r="A36" s="2" t="s">
        <v>118</v>
      </c>
      <c r="D36" s="2">
        <v>14.4</v>
      </c>
      <c r="E36" s="2">
        <v>17.8</v>
      </c>
      <c r="F36" s="2">
        <v>24.7</v>
      </c>
      <c r="G36" s="2">
        <v>28.4</v>
      </c>
      <c r="H36" s="2">
        <v>32.200000000000003</v>
      </c>
      <c r="I36" s="2">
        <v>36.799999999999997</v>
      </c>
      <c r="J36" s="2">
        <v>39.299999999999997</v>
      </c>
      <c r="K36" s="2">
        <v>45</v>
      </c>
      <c r="L36" s="2">
        <v>49.3</v>
      </c>
      <c r="M36" s="2">
        <v>47</v>
      </c>
      <c r="N36" s="2">
        <v>49.1</v>
      </c>
      <c r="O36" s="2">
        <v>50.4</v>
      </c>
      <c r="P36" s="3">
        <v>50.4</v>
      </c>
    </row>
    <row r="37" spans="1:16" s="2" customFormat="1">
      <c r="A37" s="2" t="s">
        <v>119</v>
      </c>
      <c r="B37" s="2">
        <v>7</v>
      </c>
      <c r="C37" s="2">
        <v>11.5</v>
      </c>
      <c r="D37" s="2">
        <v>13.9</v>
      </c>
      <c r="E37" s="2">
        <v>15.9</v>
      </c>
      <c r="F37" s="2">
        <v>17.399999999999999</v>
      </c>
      <c r="G37" s="2">
        <v>17.600000000000001</v>
      </c>
      <c r="H37" s="2">
        <v>21.4</v>
      </c>
      <c r="I37" s="2">
        <v>26.1</v>
      </c>
      <c r="J37" s="2">
        <v>32.5</v>
      </c>
      <c r="K37" s="2">
        <v>26.5</v>
      </c>
      <c r="L37" s="2">
        <v>34.1</v>
      </c>
      <c r="M37" s="2">
        <v>38.1</v>
      </c>
      <c r="N37" s="2">
        <v>39.1</v>
      </c>
      <c r="O37" s="2">
        <v>40.1</v>
      </c>
      <c r="P37" s="3">
        <v>40.1</v>
      </c>
    </row>
    <row r="38" spans="1:16" s="2" customFormat="1">
      <c r="A38" s="2" t="s">
        <v>120</v>
      </c>
      <c r="C38" s="2">
        <v>2.2000000000000002</v>
      </c>
      <c r="D38" s="2">
        <v>3.9</v>
      </c>
      <c r="E38" s="2">
        <v>3.7</v>
      </c>
      <c r="F38" s="2">
        <v>15.1</v>
      </c>
      <c r="G38" s="2">
        <v>19.100000000000001</v>
      </c>
      <c r="H38" s="2">
        <v>22.1</v>
      </c>
      <c r="I38" s="2">
        <v>20.9</v>
      </c>
      <c r="J38" s="2">
        <v>24.6</v>
      </c>
      <c r="K38" s="2">
        <v>28.1</v>
      </c>
      <c r="L38" s="2">
        <v>32</v>
      </c>
      <c r="M38" s="2">
        <v>33</v>
      </c>
      <c r="N38" s="2">
        <v>28.5</v>
      </c>
      <c r="O38" s="2">
        <v>24.3</v>
      </c>
      <c r="P38" s="3">
        <v>24.3</v>
      </c>
    </row>
    <row r="39" spans="1:16" s="2" customFormat="1">
      <c r="A39" s="2" t="s">
        <v>121</v>
      </c>
      <c r="O39" s="2">
        <v>24.3</v>
      </c>
      <c r="P39" s="3">
        <v>24.3</v>
      </c>
    </row>
    <row r="40" spans="1:16" s="2" customFormat="1">
      <c r="A40" s="2" t="s">
        <v>122</v>
      </c>
      <c r="C40" s="2">
        <v>9.8000000000000007</v>
      </c>
      <c r="D40" s="2">
        <v>10.6</v>
      </c>
      <c r="E40" s="2">
        <v>11.5</v>
      </c>
      <c r="F40" s="2">
        <v>12.5</v>
      </c>
      <c r="G40" s="2">
        <v>34</v>
      </c>
      <c r="H40" s="2">
        <v>46</v>
      </c>
      <c r="I40" s="2">
        <v>49</v>
      </c>
      <c r="J40" s="2" t="s">
        <v>123</v>
      </c>
      <c r="P40" s="3"/>
    </row>
    <row r="41" spans="1:16" s="2" customFormat="1">
      <c r="A41" s="2" t="s">
        <v>124</v>
      </c>
      <c r="B41" s="2">
        <v>1747.9</v>
      </c>
      <c r="C41" s="2">
        <v>2127.4</v>
      </c>
      <c r="D41" s="2">
        <v>2378.8000000000002</v>
      </c>
      <c r="E41" s="2">
        <v>2531.8000000000002</v>
      </c>
      <c r="F41" s="2">
        <v>2831.6</v>
      </c>
      <c r="G41" s="2">
        <v>2754.5</v>
      </c>
      <c r="H41" s="2">
        <v>2840</v>
      </c>
      <c r="I41" s="2">
        <v>2928.5</v>
      </c>
      <c r="J41" s="2">
        <v>3159.9</v>
      </c>
      <c r="K41" s="2">
        <v>3175.9</v>
      </c>
      <c r="L41" s="2">
        <v>3381.4</v>
      </c>
      <c r="M41" s="2">
        <v>3405.6</v>
      </c>
      <c r="N41" s="2">
        <v>3491.9</v>
      </c>
      <c r="O41" s="2">
        <v>3407.3</v>
      </c>
      <c r="P41" s="3">
        <v>3407.3</v>
      </c>
    </row>
    <row r="42" spans="1:16" s="2" customFormat="1">
      <c r="A42" s="2" t="s">
        <v>125</v>
      </c>
      <c r="B42" s="2">
        <v>93.8</v>
      </c>
      <c r="C42" s="2">
        <v>142.4</v>
      </c>
      <c r="D42" s="2">
        <v>322.10000000000002</v>
      </c>
      <c r="E42" s="2">
        <v>395.2</v>
      </c>
      <c r="F42" s="2">
        <v>664.5</v>
      </c>
      <c r="G42" s="2">
        <v>842.1</v>
      </c>
      <c r="H42" s="2">
        <v>1270.2</v>
      </c>
      <c r="I42" s="2">
        <v>1701</v>
      </c>
      <c r="J42" s="2">
        <v>2050</v>
      </c>
      <c r="K42" s="2">
        <v>2428</v>
      </c>
      <c r="L42" s="8">
        <v>2931.1</v>
      </c>
      <c r="M42" s="8">
        <v>3474.6</v>
      </c>
      <c r="N42" s="8">
        <v>3748.1</v>
      </c>
      <c r="O42" s="9">
        <v>3967.5</v>
      </c>
      <c r="P42" s="10">
        <v>3967.5</v>
      </c>
    </row>
    <row r="43" spans="1:16" s="1" customFormat="1">
      <c r="A43" s="1" t="s">
        <v>126</v>
      </c>
      <c r="B43" s="1">
        <v>1841.7</v>
      </c>
      <c r="C43" s="1">
        <v>2269.8000000000002</v>
      </c>
      <c r="D43" s="1">
        <v>2700.9</v>
      </c>
      <c r="E43" s="1">
        <v>2927</v>
      </c>
      <c r="F43" s="1">
        <v>3496.1</v>
      </c>
      <c r="G43" s="1">
        <v>3596.6</v>
      </c>
      <c r="H43" s="1">
        <v>4110.2</v>
      </c>
      <c r="I43" s="1">
        <v>4629.5</v>
      </c>
      <c r="J43" s="1">
        <v>5209.8999999999996</v>
      </c>
      <c r="K43" s="1">
        <v>5603.9</v>
      </c>
      <c r="L43" s="1">
        <f>SUM(L41:L42)</f>
        <v>6312.5</v>
      </c>
      <c r="M43" s="1">
        <f t="shared" ref="M43:P43" si="0">SUM(M41:M42)</f>
        <v>6880.2</v>
      </c>
      <c r="N43" s="1">
        <f t="shared" si="0"/>
        <v>7240</v>
      </c>
      <c r="O43" s="1">
        <f t="shared" si="0"/>
        <v>7374.8</v>
      </c>
      <c r="P43" s="11">
        <f t="shared" si="0"/>
        <v>7374.8</v>
      </c>
    </row>
    <row r="44" spans="1:16" s="18" customFormat="1" ht="13" customHeight="1">
      <c r="A44" s="12" t="s">
        <v>127</v>
      </c>
      <c r="B44" s="13">
        <v>64.099999999999994</v>
      </c>
      <c r="C44" s="13">
        <v>59.3</v>
      </c>
      <c r="D44" s="13">
        <v>58.199999999999996</v>
      </c>
      <c r="E44" s="13">
        <v>56.999999999999993</v>
      </c>
      <c r="F44" s="13">
        <v>52.1</v>
      </c>
      <c r="G44" s="13">
        <v>61.600410547525051</v>
      </c>
      <c r="H44" s="14">
        <v>66.257116442022294</v>
      </c>
      <c r="I44" s="14">
        <v>63.756345177664983</v>
      </c>
      <c r="J44" s="14">
        <v>62.354363807366745</v>
      </c>
      <c r="K44" s="14">
        <v>61.967558307607213</v>
      </c>
      <c r="L44" s="15">
        <v>70.74851485148514</v>
      </c>
      <c r="M44" s="15">
        <v>75.887942289318005</v>
      </c>
      <c r="N44" s="16">
        <v>78.535816767925212</v>
      </c>
      <c r="O44" s="16">
        <v>78.1929063822096</v>
      </c>
      <c r="P44" s="17">
        <v>84.152173798549683</v>
      </c>
    </row>
    <row r="45" spans="1:16" s="2" customFormat="1" ht="15" customHeight="1">
      <c r="A45" s="2" t="s">
        <v>128</v>
      </c>
      <c r="B45" s="5">
        <v>2238.67</v>
      </c>
      <c r="C45" s="5">
        <v>1692.3699999999997</v>
      </c>
      <c r="D45" s="5">
        <v>1636.84</v>
      </c>
      <c r="E45" s="5">
        <v>1360.94</v>
      </c>
      <c r="F45" s="5">
        <v>1086.6051109386112</v>
      </c>
      <c r="G45" s="5">
        <v>1438.1892412647001</v>
      </c>
      <c r="H45" s="14">
        <v>1347.01093766542</v>
      </c>
      <c r="I45" s="19">
        <v>1322.3602385286299</v>
      </c>
      <c r="J45" s="19">
        <v>1260.708173979252</v>
      </c>
      <c r="K45" s="14">
        <v>1286.9169863529576</v>
      </c>
      <c r="L45" s="15">
        <v>1543.2796564065898</v>
      </c>
      <c r="M45" s="15">
        <v>1663.8850800897753</v>
      </c>
      <c r="N45" s="15">
        <v>1764.1655056021546</v>
      </c>
      <c r="O45" s="20">
        <v>1757.9363133186987</v>
      </c>
      <c r="P45" s="21">
        <v>2025.950550126435</v>
      </c>
    </row>
    <row r="46" spans="1:16" s="2" customFormat="1">
      <c r="H46"/>
      <c r="I46"/>
      <c r="J46"/>
      <c r="K46"/>
      <c r="L46"/>
      <c r="M46"/>
      <c r="N46"/>
      <c r="O46"/>
      <c r="P46"/>
    </row>
    <row r="47" spans="1:16" s="8" customFormat="1">
      <c r="A47" s="1" t="s">
        <v>129</v>
      </c>
      <c r="B47" s="22"/>
      <c r="C47" s="22"/>
      <c r="D47" s="22"/>
      <c r="E47" s="22"/>
      <c r="F47" s="22"/>
      <c r="G47" s="22"/>
      <c r="H47"/>
      <c r="I47"/>
      <c r="J47"/>
      <c r="K47"/>
      <c r="L47"/>
      <c r="M47"/>
      <c r="N47"/>
      <c r="O47"/>
      <c r="P47"/>
    </row>
    <row r="48" spans="1:1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</sheetData>
  <phoneticPr fontId="3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51"/>
  <sheetViews>
    <sheetView tabSelected="1" topLeftCell="G12" workbookViewId="0">
      <selection activeCell="Q45" sqref="Q45"/>
    </sheetView>
  </sheetViews>
  <sheetFormatPr baseColWidth="10" defaultRowHeight="15"/>
  <cols>
    <col min="1" max="1" width="27.1640625" style="72" customWidth="1"/>
    <col min="2" max="2" width="10.83203125" style="72"/>
    <col min="3" max="3" width="10.5" style="72" customWidth="1"/>
    <col min="4" max="4" width="13" style="72" customWidth="1"/>
    <col min="5" max="5" width="10.1640625" style="72" customWidth="1"/>
    <col min="6" max="6" width="11.1640625" style="72" customWidth="1"/>
    <col min="7" max="7" width="11.33203125" style="72" customWidth="1"/>
    <col min="8" max="8" width="12.5" style="72" customWidth="1"/>
    <col min="9" max="9" width="8.1640625" style="72" customWidth="1"/>
    <col min="10" max="10" width="9.83203125" style="72" customWidth="1"/>
    <col min="11" max="11" width="8.5" style="72" customWidth="1"/>
    <col min="12" max="12" width="14.83203125" style="73" customWidth="1"/>
    <col min="13" max="13" width="9.1640625" style="73" customWidth="1"/>
    <col min="14" max="14" width="9" style="74" customWidth="1"/>
    <col min="15" max="15" width="12.5" style="75" customWidth="1"/>
    <col min="16" max="16" width="12.5" style="72" customWidth="1"/>
    <col min="17" max="17" width="10.83203125" style="33"/>
    <col min="18" max="18" width="14.6640625" style="33" customWidth="1"/>
    <col min="19" max="16384" width="10.83203125" style="33"/>
  </cols>
  <sheetData>
    <row r="1" spans="1:18" s="28" customFormat="1" ht="13" customHeight="1">
      <c r="A1" s="23" t="s">
        <v>130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5"/>
      <c r="M1" s="25"/>
      <c r="N1" s="25"/>
      <c r="O1" s="26"/>
      <c r="P1" s="27"/>
    </row>
    <row r="2" spans="1:18" ht="13" customHeight="1">
      <c r="A2" s="29"/>
      <c r="B2" s="30">
        <v>1984</v>
      </c>
      <c r="C2" s="30">
        <v>1988</v>
      </c>
      <c r="D2" s="30">
        <v>1990</v>
      </c>
      <c r="E2" s="30">
        <v>1992</v>
      </c>
      <c r="F2" s="30">
        <v>1996</v>
      </c>
      <c r="G2" s="30">
        <v>1998</v>
      </c>
      <c r="H2" s="30">
        <v>2000</v>
      </c>
      <c r="I2" s="30">
        <v>2002</v>
      </c>
      <c r="J2" s="30">
        <v>2004</v>
      </c>
      <c r="K2" s="30">
        <v>2006</v>
      </c>
      <c r="L2" s="31" t="s">
        <v>131</v>
      </c>
      <c r="M2" s="30">
        <v>2010</v>
      </c>
      <c r="N2" s="30">
        <v>2011</v>
      </c>
      <c r="O2" s="32">
        <v>2012</v>
      </c>
      <c r="P2" s="27" t="s">
        <v>132</v>
      </c>
      <c r="R2" s="30"/>
    </row>
    <row r="3" spans="1:18" ht="13" customHeight="1">
      <c r="A3" s="3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35">
        <f>51.7/L44*100</f>
        <v>0.81900990099009907</v>
      </c>
      <c r="M3" s="14">
        <f>59.2/M44*100</f>
        <v>0.86044010348536382</v>
      </c>
      <c r="N3" s="14">
        <f>1820.9/N44*100</f>
        <v>25.150552486187848</v>
      </c>
      <c r="O3" s="14">
        <f>1916.1/O44*100</f>
        <v>25.981721538211204</v>
      </c>
      <c r="P3" s="27">
        <v>30.78156259522769</v>
      </c>
      <c r="R3" s="14"/>
    </row>
    <row r="4" spans="1:18" ht="13" customHeight="1">
      <c r="A4" s="34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>
        <f>1505.7/L44*100</f>
        <v>23.852673267326733</v>
      </c>
      <c r="M4" s="36">
        <f>1691.8/M44*100</f>
        <v>24.589401470887474</v>
      </c>
      <c r="N4" s="14" t="s">
        <v>26</v>
      </c>
      <c r="O4" s="14"/>
      <c r="P4" s="27"/>
      <c r="R4" s="14"/>
    </row>
    <row r="5" spans="1:18" ht="13" customHeight="1">
      <c r="A5" s="37" t="s">
        <v>27</v>
      </c>
      <c r="B5" s="14"/>
      <c r="C5" s="14"/>
      <c r="D5" s="14"/>
      <c r="E5" s="14"/>
      <c r="F5" s="14"/>
      <c r="G5" s="14"/>
      <c r="H5" s="38">
        <f>12.3/H44*100</f>
        <v>0.29925551068074546</v>
      </c>
      <c r="I5" s="14">
        <f>843.5/I44*100</f>
        <v>18.220110163084566</v>
      </c>
      <c r="J5" s="14">
        <f>981.9/J44*100</f>
        <v>18.846810879287514</v>
      </c>
      <c r="K5" s="14">
        <f>1167.7/K44*100</f>
        <v>20.837274041292673</v>
      </c>
      <c r="L5" s="14" t="s">
        <v>28</v>
      </c>
      <c r="M5" s="36"/>
      <c r="N5" s="14"/>
      <c r="O5" s="14"/>
      <c r="P5" s="27"/>
      <c r="R5" s="14"/>
    </row>
    <row r="6" spans="1:18" ht="13" customHeight="1">
      <c r="A6" s="37" t="s">
        <v>29</v>
      </c>
      <c r="B6" s="14">
        <v>7.9</v>
      </c>
      <c r="C6" s="14">
        <v>9.9</v>
      </c>
      <c r="D6" s="14">
        <v>6.1</v>
      </c>
      <c r="E6" s="14">
        <v>6.4</v>
      </c>
      <c r="F6" s="14">
        <v>6.2</v>
      </c>
      <c r="G6" s="14">
        <f>457/G44*100</f>
        <v>12.706444975810488</v>
      </c>
      <c r="H6" s="14">
        <f>736.6/H44*100</f>
        <v>17.921269038003018</v>
      </c>
      <c r="I6" s="14" t="s">
        <v>30</v>
      </c>
      <c r="J6" s="14"/>
      <c r="K6" s="14"/>
      <c r="L6" s="14"/>
      <c r="M6" s="14"/>
      <c r="N6" s="14"/>
      <c r="O6" s="36"/>
      <c r="P6" s="27"/>
      <c r="R6" s="36"/>
    </row>
    <row r="7" spans="1:18" ht="13" customHeight="1">
      <c r="A7" s="34" t="s">
        <v>31</v>
      </c>
      <c r="B7" s="14"/>
      <c r="C7" s="14">
        <v>1.4</v>
      </c>
      <c r="D7" s="14">
        <v>2.9</v>
      </c>
      <c r="E7" s="14">
        <v>3.2</v>
      </c>
      <c r="F7" s="14">
        <v>5.8</v>
      </c>
      <c r="G7" s="14">
        <f>236.9/G44*100</f>
        <v>6.5867763999332709</v>
      </c>
      <c r="H7" s="14"/>
      <c r="I7" s="14"/>
      <c r="J7" s="14"/>
      <c r="K7" s="14"/>
      <c r="L7" s="14"/>
      <c r="M7" s="14"/>
      <c r="N7" s="39"/>
      <c r="O7" s="14"/>
      <c r="P7" s="27"/>
      <c r="R7" s="14"/>
    </row>
    <row r="8" spans="1:18" ht="13" customHeight="1">
      <c r="A8" s="37" t="s">
        <v>32</v>
      </c>
      <c r="B8" s="14">
        <v>1</v>
      </c>
      <c r="C8" s="14">
        <v>2</v>
      </c>
      <c r="D8" s="14">
        <v>2.1</v>
      </c>
      <c r="E8" s="14">
        <v>2</v>
      </c>
      <c r="F8" s="14">
        <v>1.8</v>
      </c>
      <c r="G8" s="14" t="s">
        <v>33</v>
      </c>
      <c r="H8" s="36"/>
      <c r="I8" s="36"/>
      <c r="J8" s="36"/>
      <c r="K8" s="36"/>
      <c r="L8" s="36"/>
      <c r="M8" s="36"/>
      <c r="N8" s="39"/>
      <c r="O8" s="36"/>
      <c r="P8" s="27"/>
      <c r="R8" s="36"/>
    </row>
    <row r="9" spans="1:18" ht="13" customHeight="1">
      <c r="A9" s="37" t="s">
        <v>34</v>
      </c>
      <c r="B9" s="14">
        <v>0.8</v>
      </c>
      <c r="C9" s="14">
        <v>0.8</v>
      </c>
      <c r="D9" s="14">
        <v>0.7</v>
      </c>
      <c r="E9" s="14">
        <v>0.5</v>
      </c>
      <c r="F9" s="14">
        <v>0.6</v>
      </c>
      <c r="G9" s="14" t="s">
        <v>35</v>
      </c>
      <c r="H9" s="14"/>
      <c r="I9" s="14"/>
      <c r="J9" s="14"/>
      <c r="K9" s="14"/>
      <c r="L9" s="14"/>
      <c r="M9" s="14"/>
      <c r="N9" s="39"/>
      <c r="O9" s="36"/>
      <c r="P9" s="27"/>
      <c r="R9" s="36"/>
    </row>
    <row r="10" spans="1:18" ht="13" customHeight="1">
      <c r="A10" s="37" t="s">
        <v>36</v>
      </c>
      <c r="B10" s="14">
        <v>0.9</v>
      </c>
      <c r="C10" s="14">
        <v>0.8</v>
      </c>
      <c r="D10" s="14">
        <v>0.7</v>
      </c>
      <c r="E10" s="14" t="s">
        <v>37</v>
      </c>
      <c r="F10" s="36"/>
      <c r="G10" s="36"/>
      <c r="H10" s="36"/>
      <c r="I10" s="36"/>
      <c r="J10" s="36"/>
      <c r="K10" s="36"/>
      <c r="L10" s="36"/>
      <c r="M10" s="36"/>
      <c r="N10" s="39"/>
      <c r="O10" s="36"/>
      <c r="P10" s="27"/>
      <c r="R10" s="36"/>
    </row>
    <row r="11" spans="1:18" ht="13" customHeight="1">
      <c r="A11" s="37" t="s">
        <v>38</v>
      </c>
      <c r="B11" s="14">
        <v>0.9</v>
      </c>
      <c r="C11" s="14">
        <v>0.9</v>
      </c>
      <c r="D11" s="36" t="s">
        <v>39</v>
      </c>
      <c r="E11" s="36"/>
      <c r="F11" s="36"/>
      <c r="G11" s="36"/>
      <c r="H11" s="36"/>
      <c r="I11" s="36"/>
      <c r="J11" s="36"/>
      <c r="K11" s="36"/>
      <c r="L11" s="36"/>
      <c r="M11" s="36"/>
      <c r="N11" s="39"/>
      <c r="O11" s="36"/>
      <c r="P11" s="27"/>
      <c r="R11" s="36"/>
    </row>
    <row r="12" spans="1:18" ht="13" customHeight="1">
      <c r="A12" s="37" t="s">
        <v>40</v>
      </c>
      <c r="B12" s="14">
        <v>0.2</v>
      </c>
      <c r="C12" s="14">
        <v>0.2</v>
      </c>
      <c r="D12" s="36" t="s">
        <v>39</v>
      </c>
      <c r="E12" s="36"/>
      <c r="F12" s="36"/>
      <c r="G12" s="36"/>
      <c r="H12" s="36"/>
      <c r="I12" s="36"/>
      <c r="J12" s="36"/>
      <c r="K12" s="36"/>
      <c r="L12" s="36"/>
      <c r="M12" s="36"/>
      <c r="N12" s="39"/>
      <c r="O12" s="36"/>
      <c r="P12" s="27"/>
      <c r="R12" s="36"/>
    </row>
    <row r="13" spans="1:18" ht="13" customHeight="1">
      <c r="A13" s="37" t="s">
        <v>41</v>
      </c>
      <c r="B13" s="14">
        <v>0.3</v>
      </c>
      <c r="C13" s="14">
        <v>0.3</v>
      </c>
      <c r="D13" s="36" t="s">
        <v>39</v>
      </c>
      <c r="E13" s="36"/>
      <c r="F13" s="36"/>
      <c r="G13" s="36"/>
      <c r="H13" s="36"/>
      <c r="I13" s="36"/>
      <c r="J13" s="36"/>
      <c r="K13" s="36"/>
      <c r="L13" s="36"/>
      <c r="M13" s="36"/>
      <c r="N13" s="39"/>
      <c r="O13" s="14"/>
      <c r="P13" s="27"/>
      <c r="R13" s="14"/>
    </row>
    <row r="14" spans="1:18" ht="13" customHeight="1">
      <c r="A14" s="37" t="s">
        <v>42</v>
      </c>
      <c r="B14" s="14">
        <v>0.5</v>
      </c>
      <c r="C14" s="14" t="s">
        <v>43</v>
      </c>
      <c r="D14" s="14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7"/>
      <c r="R14" s="36"/>
    </row>
    <row r="15" spans="1:18" ht="13" customHeight="1">
      <c r="A15" s="34" t="s">
        <v>44</v>
      </c>
      <c r="B15" s="14">
        <v>4</v>
      </c>
      <c r="C15" s="14">
        <v>5</v>
      </c>
      <c r="D15" s="14">
        <v>4.8</v>
      </c>
      <c r="E15" s="14">
        <v>4.9000000000000004</v>
      </c>
      <c r="F15" s="14">
        <v>4.7</v>
      </c>
      <c r="G15" s="14">
        <f>195/G44*100</f>
        <v>5.4217872435077572</v>
      </c>
      <c r="H15" s="14">
        <f>225.9/H44*100</f>
        <v>5.4960829156732043</v>
      </c>
      <c r="I15" s="14">
        <f>316.6/I44*100</f>
        <v>6.8387514850415814</v>
      </c>
      <c r="J15" s="14">
        <v>7.2151096950037399</v>
      </c>
      <c r="K15" s="14">
        <f>478.2/K44*100</f>
        <v>8.5333428505148206</v>
      </c>
      <c r="L15" s="20" t="s">
        <v>45</v>
      </c>
      <c r="M15" s="36"/>
      <c r="N15" s="14"/>
      <c r="O15" s="14"/>
      <c r="P15" s="27"/>
      <c r="R15" s="14"/>
    </row>
    <row r="16" spans="1:18" ht="13" customHeight="1">
      <c r="A16" s="34" t="s">
        <v>46</v>
      </c>
      <c r="B16" s="14"/>
      <c r="C16" s="14"/>
      <c r="D16" s="14"/>
      <c r="E16" s="14"/>
      <c r="F16" s="14">
        <f>24.6/F44*100</f>
        <v>0.70364120019450249</v>
      </c>
      <c r="G16" s="14">
        <f>79.4/G44*100</f>
        <v>2.207640549407774</v>
      </c>
      <c r="H16" s="14">
        <f>143/H44*100</f>
        <v>3.4791494331176098</v>
      </c>
      <c r="I16" s="14">
        <f>284.7/I44*100</f>
        <v>6.1496921913813587</v>
      </c>
      <c r="J16" s="14">
        <f>349/J44*100</f>
        <v>6.6987850054703548</v>
      </c>
      <c r="K16" s="14">
        <f>422.5/K44*100</f>
        <v>7.539392208997306</v>
      </c>
      <c r="L16" s="14">
        <f>512.2/L44*100</f>
        <v>8.1140594059405942</v>
      </c>
      <c r="M16" s="14">
        <f>1496.9/M44*100</f>
        <v>21.756634981541236</v>
      </c>
      <c r="N16" s="14">
        <f>1645.9/N44*100</f>
        <v>22.733425414364643</v>
      </c>
      <c r="O16" s="14">
        <f>1587.2/O44*100</f>
        <v>21.521939578022454</v>
      </c>
      <c r="P16" s="27">
        <f>1681.3/P44*100</f>
        <v>22.797906383901935</v>
      </c>
      <c r="R16" s="14"/>
    </row>
    <row r="17" spans="1:18" customFormat="1">
      <c r="A17" s="40" t="s">
        <v>47</v>
      </c>
      <c r="B17" s="40"/>
      <c r="C17" s="40"/>
      <c r="D17" s="40"/>
      <c r="E17" s="40"/>
      <c r="F17" s="40">
        <v>0</v>
      </c>
      <c r="G17" s="40"/>
      <c r="H17" s="40">
        <v>0</v>
      </c>
      <c r="I17" s="40"/>
      <c r="J17" s="40">
        <f>16.7/J44*100</f>
        <v>0.3205435804909883</v>
      </c>
      <c r="K17" s="40">
        <f>20.6/K44*100</f>
        <v>0.36760113492389235</v>
      </c>
      <c r="L17" s="40">
        <f>62/L44*100</f>
        <v>0.98217821782178216</v>
      </c>
      <c r="M17" s="40">
        <f>977.7/M44*100</f>
        <v>14.210342722595273</v>
      </c>
      <c r="N17" s="40">
        <f>1062.1/N44*100</f>
        <v>14.669889502762429</v>
      </c>
      <c r="O17" s="40">
        <f>994.2/O44*100</f>
        <v>13.48104355372349</v>
      </c>
      <c r="P17" s="40">
        <f>981.7/P44*100</f>
        <v>13.311547431794759</v>
      </c>
    </row>
    <row r="18" spans="1:18" customFormat="1">
      <c r="A18" s="40" t="s">
        <v>48</v>
      </c>
      <c r="B18" s="40"/>
      <c r="C18" s="40"/>
      <c r="D18" s="40"/>
      <c r="E18" s="40"/>
      <c r="F18" s="40">
        <v>0.7</v>
      </c>
      <c r="G18" s="40">
        <f>79.4/G44*100</f>
        <v>2.207640549407774</v>
      </c>
      <c r="H18" s="40">
        <v>3.5</v>
      </c>
      <c r="I18" s="40">
        <v>6.1</v>
      </c>
      <c r="J18" s="40">
        <f>322.3/J44*100</f>
        <v>6.1862991612123084</v>
      </c>
      <c r="K18" s="40">
        <f>401.9/K44*100</f>
        <v>7.1717910740734139</v>
      </c>
      <c r="L18" s="40">
        <f>450.2/L44*100</f>
        <v>7.131881188118812</v>
      </c>
      <c r="M18" s="40">
        <f>543/M44*100</f>
        <v>7.8922124356850087</v>
      </c>
      <c r="N18" s="40">
        <f>583.8/N44*100</f>
        <v>8.0635359116022105</v>
      </c>
      <c r="O18" s="40">
        <f>593/O44*100</f>
        <v>8.0408960242989647</v>
      </c>
      <c r="P18" s="40">
        <f>699.6/P44*100</f>
        <v>9.4863589521071745</v>
      </c>
    </row>
    <row r="19" spans="1:18" ht="13" customHeight="1">
      <c r="A19" s="34" t="s">
        <v>49</v>
      </c>
      <c r="B19" s="14">
        <v>4.9000000000000004</v>
      </c>
      <c r="C19" s="14">
        <v>6.2</v>
      </c>
      <c r="D19" s="14">
        <v>7.9</v>
      </c>
      <c r="E19" s="14">
        <v>8.3000000000000007</v>
      </c>
      <c r="F19" s="14">
        <v>9.6</v>
      </c>
      <c r="G19" s="14">
        <f>411.4/G44*100</f>
        <v>11.438580881944057</v>
      </c>
      <c r="H19" s="14">
        <f>616.2/H44*100</f>
        <v>14.991971193615885</v>
      </c>
      <c r="I19" s="14">
        <f>653.7/I44*100</f>
        <v>14.120315368830328</v>
      </c>
      <c r="J19" s="14">
        <f>712.7/J44*100</f>
        <v>13.679725138678286</v>
      </c>
      <c r="K19" s="14">
        <f>640.7/K44*100</f>
        <v>11.433109084744554</v>
      </c>
      <c r="L19" s="14">
        <f>1061.5/L44*100</f>
        <v>16.815841584158417</v>
      </c>
      <c r="M19" s="36" t="s">
        <v>50</v>
      </c>
      <c r="N19" s="39"/>
      <c r="O19" s="14"/>
      <c r="P19" s="27"/>
    </row>
    <row r="20" spans="1:18" ht="13" customHeight="1">
      <c r="A20" s="34" t="s">
        <v>51</v>
      </c>
      <c r="B20" s="14"/>
      <c r="C20" s="14"/>
      <c r="D20" s="14"/>
      <c r="E20" s="14"/>
      <c r="F20" s="14">
        <v>0.5</v>
      </c>
      <c r="G20" s="14">
        <f>77.2/G43*100</f>
        <v>9.1675572972331079</v>
      </c>
      <c r="H20" s="14">
        <f>101.3/H44*100</f>
        <v>2.4646002627609365</v>
      </c>
      <c r="I20" s="14">
        <f>148.2/I44*100</f>
        <v>3.2012096338697482</v>
      </c>
      <c r="J20" s="14">
        <f>239.1/J44*100</f>
        <v>4.5893395266703783</v>
      </c>
      <c r="K20" s="14">
        <f>310.5/K44*100</f>
        <v>5.5407840967897357</v>
      </c>
      <c r="L20" s="14" t="s">
        <v>52</v>
      </c>
      <c r="M20" s="14"/>
      <c r="N20" s="39"/>
      <c r="O20" s="36"/>
      <c r="P20" s="27"/>
    </row>
    <row r="21" spans="1:18" ht="13" customHeight="1">
      <c r="A21" s="34" t="s">
        <v>53</v>
      </c>
      <c r="B21" s="14"/>
      <c r="C21" s="14"/>
      <c r="D21" s="14">
        <v>0.3</v>
      </c>
      <c r="E21" s="14">
        <v>0.3</v>
      </c>
      <c r="F21" s="14">
        <v>1</v>
      </c>
      <c r="G21" s="14" t="s">
        <v>54</v>
      </c>
      <c r="H21" s="14"/>
      <c r="I21" s="14"/>
      <c r="J21" s="14"/>
      <c r="K21" s="14"/>
      <c r="L21" s="36"/>
      <c r="M21" s="14"/>
      <c r="N21" s="39"/>
      <c r="O21" s="14"/>
      <c r="P21" s="27"/>
    </row>
    <row r="22" spans="1:18" ht="13" customHeight="1">
      <c r="A22" s="34" t="s">
        <v>55</v>
      </c>
      <c r="B22" s="14">
        <v>3.2</v>
      </c>
      <c r="C22" s="14">
        <v>3.2</v>
      </c>
      <c r="D22" s="14">
        <v>5.3</v>
      </c>
      <c r="E22" s="14">
        <v>7.8</v>
      </c>
      <c r="F22" s="14">
        <v>0.5</v>
      </c>
      <c r="G22" s="14">
        <f>381.8/G44*100</f>
        <v>10.615581382416728</v>
      </c>
      <c r="H22" s="36"/>
      <c r="I22" s="36"/>
      <c r="J22" s="36"/>
      <c r="K22" s="36"/>
      <c r="L22" s="36"/>
      <c r="M22" s="36"/>
      <c r="N22" s="39"/>
      <c r="O22" s="14"/>
      <c r="P22" s="27"/>
      <c r="R22" s="41"/>
    </row>
    <row r="23" spans="1:18" ht="13" customHeight="1">
      <c r="A23" s="34" t="s">
        <v>56</v>
      </c>
      <c r="B23" s="14"/>
      <c r="C23" s="14">
        <v>0.8</v>
      </c>
      <c r="D23" s="14">
        <v>0.7</v>
      </c>
      <c r="E23" s="14" t="s">
        <v>57</v>
      </c>
      <c r="F23" s="14">
        <v>1</v>
      </c>
      <c r="G23" s="14"/>
      <c r="H23" s="14"/>
      <c r="I23" s="14"/>
      <c r="J23" s="14"/>
      <c r="K23" s="14"/>
      <c r="L23" s="36"/>
      <c r="M23" s="14"/>
      <c r="N23" s="39"/>
      <c r="O23" s="14"/>
      <c r="P23" s="27"/>
    </row>
    <row r="24" spans="1:18" ht="13" customHeight="1">
      <c r="A24" s="34" t="s">
        <v>58</v>
      </c>
      <c r="B24" s="14">
        <v>46.1</v>
      </c>
      <c r="C24" s="14">
        <v>37.799999999999997</v>
      </c>
      <c r="D24" s="14">
        <v>38.9</v>
      </c>
      <c r="E24" s="14">
        <v>34.5</v>
      </c>
      <c r="F24" s="14">
        <v>27.4</v>
      </c>
      <c r="G24" s="14">
        <f>1017.4/G44*100</f>
        <v>28.287827392537395</v>
      </c>
      <c r="H24" s="14">
        <f>1055.6/H44*100</f>
        <v>25.682448542649993</v>
      </c>
      <c r="I24" s="14">
        <f>1137.8/I44*100</f>
        <v>24.577168160708499</v>
      </c>
      <c r="J24" s="14">
        <f>1178.1/J44*100</f>
        <v>22.612718094397206</v>
      </c>
      <c r="K24" s="14">
        <f>1186/K44*100</f>
        <v>21.163832331055161</v>
      </c>
      <c r="L24" s="14">
        <f>1386.6/L44*100</f>
        <v>21.965940594059404</v>
      </c>
      <c r="M24" s="14">
        <f>1425/M44*100</f>
        <v>20.711607220720328</v>
      </c>
      <c r="N24" s="14">
        <f>1498.3/N44*100</f>
        <v>20.694751381215468</v>
      </c>
      <c r="O24" s="36">
        <f>1536.9/O44*100</f>
        <v>20.839887183381244</v>
      </c>
      <c r="P24" s="27">
        <f>1532.8/P44*100</f>
        <v>20.78429245538862</v>
      </c>
    </row>
    <row r="25" spans="1:18" ht="13" customHeight="1">
      <c r="A25" s="34" t="s">
        <v>59</v>
      </c>
      <c r="B25" s="14">
        <v>0.9</v>
      </c>
      <c r="C25" s="14">
        <v>1.6</v>
      </c>
      <c r="D25" s="14">
        <v>2</v>
      </c>
      <c r="E25" s="14">
        <v>1.7</v>
      </c>
      <c r="F25" s="14">
        <v>4.8</v>
      </c>
      <c r="G25" s="14">
        <f>98/G44*100</f>
        <v>2.7247956403269753</v>
      </c>
      <c r="H25" s="14">
        <f>151.3/H44*100</f>
        <v>3.6810860785363246</v>
      </c>
      <c r="I25" s="14">
        <v>3.9442704395723083</v>
      </c>
      <c r="J25" s="14">
        <v>3.5624484155166134</v>
      </c>
      <c r="K25" s="14">
        <v>5.305233854993844</v>
      </c>
      <c r="L25" s="14">
        <v>8.2423589434823246</v>
      </c>
      <c r="M25" s="14">
        <v>8.8302986161689727</v>
      </c>
      <c r="N25" s="42">
        <v>9.9570874861572527</v>
      </c>
      <c r="O25" s="42">
        <v>9.8493580825946978</v>
      </c>
      <c r="P25" s="43">
        <v>9.7884123640314264</v>
      </c>
    </row>
    <row r="26" spans="1:18" ht="13" customHeight="1">
      <c r="A26" s="34" t="s">
        <v>0</v>
      </c>
      <c r="B26" s="14">
        <v>1.2</v>
      </c>
      <c r="C26" s="14">
        <v>4.5999999999999996</v>
      </c>
      <c r="D26" s="14">
        <v>4.5999999999999996</v>
      </c>
      <c r="E26" s="14">
        <v>4.5</v>
      </c>
      <c r="F26" s="36" t="s">
        <v>1</v>
      </c>
      <c r="G26" s="36"/>
      <c r="H26" s="36"/>
      <c r="I26" s="36"/>
      <c r="J26" s="36"/>
      <c r="K26" s="36"/>
      <c r="L26" s="36"/>
      <c r="M26" s="36"/>
      <c r="N26" s="44"/>
      <c r="O26" s="44"/>
      <c r="P26" s="43"/>
    </row>
    <row r="27" spans="1:18" ht="13" customHeight="1">
      <c r="A27" s="34" t="s">
        <v>2</v>
      </c>
      <c r="B27" s="14">
        <v>5.2</v>
      </c>
      <c r="C27" s="14">
        <v>5.4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9"/>
      <c r="O27" s="39"/>
      <c r="P27" s="43"/>
    </row>
    <row r="28" spans="1:18" ht="13" customHeight="1">
      <c r="A28" s="34" t="s">
        <v>3</v>
      </c>
      <c r="B28" s="36"/>
      <c r="C28" s="14">
        <v>0.9</v>
      </c>
      <c r="D28" s="14">
        <v>2.9</v>
      </c>
      <c r="E28" s="14">
        <v>3</v>
      </c>
      <c r="F28" s="14">
        <v>8.9</v>
      </c>
      <c r="G28" s="14">
        <f>131.3/G44*100</f>
        <v>3.6506700772952239</v>
      </c>
      <c r="H28" s="14">
        <f>207.7/H44*100</f>
        <v>5.0532820787309616</v>
      </c>
      <c r="I28" s="14">
        <f>318.6/I44*100</f>
        <v>6.8819526946754515</v>
      </c>
      <c r="J28" s="14">
        <f>318.6/J44*100</f>
        <v>6.1152805236184964</v>
      </c>
      <c r="K28" s="14">
        <f>370.8/K44*100</f>
        <v>6.6168204286300618</v>
      </c>
      <c r="L28" s="14">
        <f>420.8/L44*100</f>
        <v>6.6661386138613858</v>
      </c>
      <c r="M28" s="14">
        <f>490.9/M44*100</f>
        <v>7.1349670067730591</v>
      </c>
      <c r="N28" s="14">
        <f>557.9/N44*100</f>
        <v>7.7058011049723749</v>
      </c>
      <c r="O28" s="39">
        <f>561.6/O44*100</f>
        <v>7.6151217660139938</v>
      </c>
      <c r="P28" s="43">
        <f>101.9/P44*100</f>
        <v>1.3817323859630093</v>
      </c>
      <c r="R28" s="45"/>
    </row>
    <row r="29" spans="1:18" ht="13" customHeight="1">
      <c r="A29" s="34" t="s">
        <v>4</v>
      </c>
      <c r="B29" s="14"/>
      <c r="C29" s="14"/>
      <c r="D29" s="14"/>
      <c r="E29" s="14"/>
      <c r="F29" s="36"/>
      <c r="G29" s="14">
        <f>52.2/G44*100</f>
        <v>1.4513707390313075</v>
      </c>
      <c r="H29" s="14">
        <f>314.9/H44*100</f>
        <v>7.6614276677533937</v>
      </c>
      <c r="I29" s="14">
        <f>253.1/I44*100</f>
        <v>5.4671130791662161</v>
      </c>
      <c r="J29" s="15">
        <f>299.6/J44*100</f>
        <v>5.750590222461085</v>
      </c>
      <c r="K29" s="14">
        <f>340.9/K44*100</f>
        <v>6.0832634415317903</v>
      </c>
      <c r="L29" s="14">
        <f>305/L44*100</f>
        <v>4.8316831683168315</v>
      </c>
      <c r="M29" s="14">
        <f>344.9/M44*100</f>
        <v>5.0129356704746959</v>
      </c>
      <c r="N29" s="14">
        <f>373.2/N44*100</f>
        <v>5.1546961325966842</v>
      </c>
      <c r="O29" s="42">
        <f>393.2/O44*100</f>
        <v>5.3316700113901394</v>
      </c>
      <c r="P29" s="43">
        <f>383.4/P44*100</f>
        <v>5.1987850517980148</v>
      </c>
    </row>
    <row r="30" spans="1:18" ht="13" customHeight="1">
      <c r="A30" s="34" t="s">
        <v>5</v>
      </c>
      <c r="B30" s="14"/>
      <c r="C30" s="14">
        <v>4.3</v>
      </c>
      <c r="D30" s="14">
        <v>4.9000000000000004</v>
      </c>
      <c r="E30" s="14">
        <v>5.4</v>
      </c>
      <c r="F30" s="14">
        <v>6</v>
      </c>
      <c r="G30" s="14">
        <f>233/G44*100</f>
        <v>6.4783406550631151</v>
      </c>
      <c r="H30" s="14" t="s">
        <v>6</v>
      </c>
      <c r="I30" s="14"/>
      <c r="J30" s="14"/>
      <c r="K30" s="14"/>
      <c r="L30" s="14"/>
      <c r="M30" s="14"/>
      <c r="N30" s="39"/>
      <c r="O30" s="42"/>
      <c r="P30" s="43"/>
    </row>
    <row r="31" spans="1:18" ht="13" customHeight="1">
      <c r="A31" s="34" t="s">
        <v>7</v>
      </c>
      <c r="B31" s="14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9"/>
      <c r="O31" s="42"/>
      <c r="P31" s="43"/>
    </row>
    <row r="32" spans="1:18" ht="13" customHeight="1">
      <c r="A32" s="34" t="s">
        <v>8</v>
      </c>
      <c r="B32" s="14"/>
      <c r="C32" s="14">
        <v>0.9</v>
      </c>
      <c r="D32" s="14"/>
      <c r="E32" s="36"/>
      <c r="F32" s="36"/>
      <c r="G32" s="36"/>
      <c r="H32" s="36"/>
      <c r="I32" s="36"/>
      <c r="J32" s="36"/>
      <c r="K32" s="36"/>
      <c r="L32" s="36"/>
      <c r="M32" s="36"/>
      <c r="N32" s="39"/>
      <c r="O32" s="42"/>
      <c r="P32" s="43"/>
    </row>
    <row r="33" spans="1:16" ht="13" customHeight="1">
      <c r="A33" s="34" t="s">
        <v>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>
        <f>97.7/L44*100</f>
        <v>1.5477227722772278</v>
      </c>
      <c r="M33" s="36">
        <f>61.9/M44*100</f>
        <v>0.8996831487456759</v>
      </c>
      <c r="N33" s="39">
        <f>66.5/N44*100</f>
        <v>0.91850828729281764</v>
      </c>
      <c r="O33" s="42">
        <f>73.2/O44*100</f>
        <v>0.99256929001464456</v>
      </c>
      <c r="P33" s="43">
        <f>73.2/P44*100</f>
        <v>0.99256929001464456</v>
      </c>
    </row>
    <row r="34" spans="1:16" ht="13" customHeight="1">
      <c r="A34" s="34" t="s">
        <v>10</v>
      </c>
      <c r="B34" s="14"/>
      <c r="C34" s="14"/>
      <c r="D34" s="14"/>
      <c r="E34" s="14"/>
      <c r="F34" s="36"/>
      <c r="G34" s="14">
        <f>29.3/G44*100</f>
        <v>0.81465828838347343</v>
      </c>
      <c r="H34" s="14">
        <f>37.2/H44*100</f>
        <v>0.90506544693688873</v>
      </c>
      <c r="I34" s="14">
        <f>84/I44*100</f>
        <v>1.8144508046225294</v>
      </c>
      <c r="J34" s="14">
        <f>113/J44*100</f>
        <v>2.1689475805677652</v>
      </c>
      <c r="K34" s="14">
        <f>107.6/K44*100</f>
        <v>1.9200913649422724</v>
      </c>
      <c r="L34" s="14" t="s">
        <v>11</v>
      </c>
      <c r="M34" s="14"/>
      <c r="N34" s="39"/>
      <c r="O34" s="42"/>
      <c r="P34" s="43"/>
    </row>
    <row r="35" spans="1:16" ht="13" customHeight="1">
      <c r="A35" s="34" t="s">
        <v>12</v>
      </c>
      <c r="B35" s="14">
        <v>4</v>
      </c>
      <c r="C35" s="14">
        <v>3.1</v>
      </c>
      <c r="D35" s="14">
        <v>4</v>
      </c>
      <c r="E35" s="14">
        <v>3.5</v>
      </c>
      <c r="F35" s="14">
        <v>1.9</v>
      </c>
      <c r="G35" s="14" t="s">
        <v>13</v>
      </c>
      <c r="H35" s="14"/>
      <c r="I35" s="14"/>
      <c r="J35" s="14"/>
      <c r="K35" s="14"/>
      <c r="L35" s="14"/>
      <c r="M35" s="14"/>
      <c r="N35" s="39"/>
      <c r="O35" s="42"/>
      <c r="P35" s="43"/>
    </row>
    <row r="36" spans="1:16" ht="13" customHeight="1">
      <c r="A36" s="34" t="s">
        <v>118</v>
      </c>
      <c r="B36" s="14"/>
      <c r="C36" s="14"/>
      <c r="D36" s="14">
        <v>0.5</v>
      </c>
      <c r="E36" s="14">
        <v>0.6</v>
      </c>
      <c r="F36" s="14">
        <v>0.7</v>
      </c>
      <c r="G36" s="14">
        <f>28.4/G44*100</f>
        <v>0.789634654951899</v>
      </c>
      <c r="H36" s="14">
        <f>32.2/H44*100</f>
        <v>0.78341686535934996</v>
      </c>
      <c r="I36" s="14">
        <f>36.8/I44*100</f>
        <v>0.7949022572632034</v>
      </c>
      <c r="J36" s="14">
        <f>39.3/J44*100</f>
        <v>0.7543330966045414</v>
      </c>
      <c r="K36" s="14">
        <f>45/K44*100</f>
        <v>0.80301218794054141</v>
      </c>
      <c r="L36" s="14">
        <f>50.6/L44*100</f>
        <v>0.80158415841584152</v>
      </c>
      <c r="M36" s="14">
        <f>50.2/M44*100</f>
        <v>0.72962995261765651</v>
      </c>
      <c r="N36" s="14">
        <f>48.1/N44*100</f>
        <v>0.66436464088397795</v>
      </c>
      <c r="O36" s="42">
        <f>50.4/O44*100</f>
        <v>0.68340836361664037</v>
      </c>
      <c r="P36" s="43">
        <f>50.4/P44*100</f>
        <v>0.68340836361664037</v>
      </c>
    </row>
    <row r="37" spans="1:16" ht="13" customHeight="1">
      <c r="A37" s="34" t="s">
        <v>14</v>
      </c>
      <c r="B37" s="14">
        <v>0.4</v>
      </c>
      <c r="C37" s="14">
        <v>0.5</v>
      </c>
      <c r="D37" s="14">
        <v>0.5</v>
      </c>
      <c r="E37" s="14">
        <v>0.5</v>
      </c>
      <c r="F37" s="14">
        <v>0.5</v>
      </c>
      <c r="G37" s="14">
        <f>17.6/G44*100</f>
        <v>0.48935105377300786</v>
      </c>
      <c r="H37" s="14">
        <f>21.4/H44*100</f>
        <v>0.52065592915186609</v>
      </c>
      <c r="I37" s="14">
        <f>26.1/I44*100</f>
        <v>0.56377578572200027</v>
      </c>
      <c r="J37" s="14">
        <f>32.5/J44*100</f>
        <v>0.62381235724294137</v>
      </c>
      <c r="K37" s="14">
        <f>26.5/K44*100</f>
        <v>0.47288495512054107</v>
      </c>
      <c r="L37" s="14">
        <f>34.1/L44*100</f>
        <v>0.54019801980198023</v>
      </c>
      <c r="M37" s="14">
        <f>41.9/M44*100</f>
        <v>0.60899392459521529</v>
      </c>
      <c r="N37" s="39"/>
      <c r="O37" s="42">
        <f>40.1/O44*100</f>
        <v>0.54374355914736672</v>
      </c>
      <c r="P37" s="43">
        <f>40.1/P44*100</f>
        <v>0.54374355914736672</v>
      </c>
    </row>
    <row r="38" spans="1:16" ht="13" customHeight="1">
      <c r="A38" s="34" t="s">
        <v>120</v>
      </c>
      <c r="B38" s="14"/>
      <c r="C38" s="14">
        <v>0.1</v>
      </c>
      <c r="D38" s="14">
        <v>0.1</v>
      </c>
      <c r="E38" s="14">
        <v>0.1</v>
      </c>
      <c r="F38" s="14">
        <v>0.4</v>
      </c>
      <c r="G38" s="14">
        <f>19.1/G44*100</f>
        <v>0.53105710949229834</v>
      </c>
      <c r="H38" s="14">
        <f>22.1/H44*100</f>
        <v>0.53768673057272154</v>
      </c>
      <c r="I38" s="14">
        <f>20.9/I44*100</f>
        <v>0.45145264067393881</v>
      </c>
      <c r="J38" s="14">
        <f>24.6/J44*100</f>
        <v>0.47217796886696489</v>
      </c>
      <c r="K38" s="14">
        <f>28.1/K44*100</f>
        <v>0.50143649958064918</v>
      </c>
      <c r="L38" s="14">
        <f>32/L44*100</f>
        <v>0.50693069306930694</v>
      </c>
      <c r="M38" s="14">
        <f>33/M44*100</f>
        <v>0.47963721984826019</v>
      </c>
      <c r="N38" s="14">
        <f>28.5/N44*100</f>
        <v>0.39364640883977897</v>
      </c>
      <c r="O38" s="42">
        <f>24.3/O44*100</f>
        <v>0.32950046102945163</v>
      </c>
      <c r="P38" s="43">
        <f>24.3/P44*100</f>
        <v>0.32950046102945163</v>
      </c>
    </row>
    <row r="39" spans="1:16" ht="13" customHeight="1">
      <c r="A39" s="34" t="s">
        <v>121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2">
        <f>24.3/O44*100</f>
        <v>0.32950046102945163</v>
      </c>
      <c r="P39" s="43">
        <f>24.3/P44*100</f>
        <v>0.32950046102945163</v>
      </c>
    </row>
    <row r="40" spans="1:16" ht="13" customHeight="1">
      <c r="A40" s="34" t="s">
        <v>15</v>
      </c>
      <c r="B40" s="14"/>
      <c r="C40" s="14">
        <v>0.4</v>
      </c>
      <c r="D40" s="14">
        <v>0.4</v>
      </c>
      <c r="E40" s="14">
        <v>0.4</v>
      </c>
      <c r="F40" s="14">
        <v>0.4</v>
      </c>
      <c r="G40" s="14">
        <f>34/G44*100</f>
        <v>0.9453372629705834</v>
      </c>
      <c r="H40" s="14">
        <f>46/H44*100</f>
        <v>1.119166950513357</v>
      </c>
      <c r="I40" s="14">
        <f>49/I44*100</f>
        <v>1.0584296360298089</v>
      </c>
      <c r="J40" s="14" t="s">
        <v>16</v>
      </c>
      <c r="K40" s="14"/>
      <c r="L40" s="14"/>
      <c r="M40" s="14"/>
      <c r="N40" s="46"/>
      <c r="O40" s="42"/>
      <c r="P40" s="43"/>
    </row>
    <row r="41" spans="1:16" s="51" customFormat="1" ht="16">
      <c r="A41" s="34" t="s">
        <v>17</v>
      </c>
      <c r="B41" s="15"/>
      <c r="C41" s="47">
        <v>2.0882897171556962</v>
      </c>
      <c r="D41" s="47">
        <v>2.5954311525787697</v>
      </c>
      <c r="E41" s="47">
        <v>3.2661428083361801</v>
      </c>
      <c r="F41" s="47">
        <v>1.3815394296501815</v>
      </c>
      <c r="G41" s="47">
        <v>-0.13902018573096814</v>
      </c>
      <c r="H41" s="47">
        <v>5.9437496958785463</v>
      </c>
      <c r="I41" s="47">
        <v>7.2146020088562484</v>
      </c>
      <c r="J41" s="47">
        <v>5.5240983512159554</v>
      </c>
      <c r="K41" s="47">
        <v>3.467228180374383</v>
      </c>
      <c r="L41" s="48">
        <v>3.0310712531491135</v>
      </c>
      <c r="M41" s="49">
        <v>6.150036416605972</v>
      </c>
      <c r="N41" s="48">
        <v>4.3950719822812783</v>
      </c>
      <c r="O41" s="50">
        <v>4.2542761371013613</v>
      </c>
      <c r="P41" s="43">
        <v>4.0091683559229949</v>
      </c>
    </row>
    <row r="42" spans="1:16" s="51" customFormat="1" ht="16">
      <c r="A42" s="34" t="s">
        <v>18</v>
      </c>
      <c r="B42" s="15">
        <v>1747.9</v>
      </c>
      <c r="C42" s="15">
        <v>2127.4</v>
      </c>
      <c r="D42" s="15">
        <v>2378.8000000000002</v>
      </c>
      <c r="E42" s="15">
        <v>2531.8000000000002</v>
      </c>
      <c r="F42" s="15">
        <v>2831.6</v>
      </c>
      <c r="G42" s="15">
        <v>2754.5</v>
      </c>
      <c r="H42" s="15">
        <v>2840</v>
      </c>
      <c r="I42" s="15">
        <v>2928.5</v>
      </c>
      <c r="J42" s="15">
        <v>3159.9</v>
      </c>
      <c r="K42" s="15">
        <v>3175.9</v>
      </c>
      <c r="L42" s="15">
        <v>3381.4</v>
      </c>
      <c r="M42" s="15">
        <v>3405.6</v>
      </c>
      <c r="N42" s="52">
        <v>3491.9</v>
      </c>
      <c r="O42" s="53">
        <v>3407.3</v>
      </c>
      <c r="P42" s="43">
        <v>3407.3</v>
      </c>
    </row>
    <row r="43" spans="1:16" s="51" customFormat="1" ht="16">
      <c r="A43" s="34" t="s">
        <v>19</v>
      </c>
      <c r="B43" s="15">
        <v>93.8</v>
      </c>
      <c r="C43" s="15">
        <v>142.4</v>
      </c>
      <c r="D43" s="15">
        <v>322.10000000000002</v>
      </c>
      <c r="E43" s="15">
        <v>395.2</v>
      </c>
      <c r="F43" s="15">
        <v>664.5</v>
      </c>
      <c r="G43" s="15">
        <v>842.1</v>
      </c>
      <c r="H43" s="15">
        <v>1270.2</v>
      </c>
      <c r="I43" s="15">
        <v>1701</v>
      </c>
      <c r="J43" s="15">
        <v>2050</v>
      </c>
      <c r="K43" s="15">
        <v>2428</v>
      </c>
      <c r="L43" s="54">
        <v>2931.1</v>
      </c>
      <c r="M43" s="49">
        <v>3474.6</v>
      </c>
      <c r="N43" s="48">
        <v>3748.1</v>
      </c>
      <c r="O43" s="55">
        <v>3967.5</v>
      </c>
      <c r="P43" s="43">
        <v>3967.5</v>
      </c>
    </row>
    <row r="44" spans="1:16" s="61" customFormat="1" ht="18" customHeight="1">
      <c r="A44" s="56" t="s">
        <v>126</v>
      </c>
      <c r="B44" s="57">
        <f t="shared" ref="B44:K44" si="0">SUM(B42:B43)</f>
        <v>1841.7</v>
      </c>
      <c r="C44" s="58">
        <f t="shared" si="0"/>
        <v>2269.8000000000002</v>
      </c>
      <c r="D44" s="57">
        <f t="shared" si="0"/>
        <v>2700.9</v>
      </c>
      <c r="E44" s="58">
        <f t="shared" si="0"/>
        <v>2927</v>
      </c>
      <c r="F44" s="57">
        <f t="shared" si="0"/>
        <v>3496.1</v>
      </c>
      <c r="G44" s="58">
        <f t="shared" si="0"/>
        <v>3596.6</v>
      </c>
      <c r="H44" s="57">
        <f t="shared" si="0"/>
        <v>4110.2</v>
      </c>
      <c r="I44" s="58">
        <f t="shared" si="0"/>
        <v>4629.5</v>
      </c>
      <c r="J44" s="57">
        <f t="shared" si="0"/>
        <v>5209.8999999999996</v>
      </c>
      <c r="K44" s="58">
        <f t="shared" si="0"/>
        <v>5603.9</v>
      </c>
      <c r="L44" s="25">
        <v>6312.5</v>
      </c>
      <c r="M44" s="59">
        <v>6880.2</v>
      </c>
      <c r="N44" s="25">
        <v>7240</v>
      </c>
      <c r="O44" s="58">
        <f>SUM(O42:O43)</f>
        <v>7374.8</v>
      </c>
      <c r="P44" s="60">
        <f>SUM(P42:P43)</f>
        <v>7374.8</v>
      </c>
    </row>
    <row r="45" spans="1:16" ht="13" customHeight="1">
      <c r="A45" s="34" t="s">
        <v>127</v>
      </c>
      <c r="B45" s="14">
        <f>SUM(B24+B6+B19+B27)</f>
        <v>64.099999999999994</v>
      </c>
      <c r="C45" s="14">
        <f>SUM(C24+C6+C19+C27)</f>
        <v>59.3</v>
      </c>
      <c r="D45" s="14">
        <f>SUM(D24+D19+D6+D22)</f>
        <v>58.199999999999996</v>
      </c>
      <c r="E45" s="14">
        <f>SUM(E19+E24+E22+E6)</f>
        <v>56.999999999999993</v>
      </c>
      <c r="F45" s="14">
        <f>SUM(F24+F28+F19+F6)</f>
        <v>52.1</v>
      </c>
      <c r="G45" s="14">
        <f>SUM(G6+G19+G24+G20)</f>
        <v>61.600410547525051</v>
      </c>
      <c r="H45" s="14">
        <f>SUM(H6+H19+H24+H29)</f>
        <v>66.257116442022294</v>
      </c>
      <c r="I45" s="14">
        <f>SUM(I5+I19+I24+I15)</f>
        <v>63.756345177664983</v>
      </c>
      <c r="J45" s="14">
        <f>SUM(J5+J19+J24+J15)</f>
        <v>62.354363807366745</v>
      </c>
      <c r="K45" s="14">
        <f>SUM(K5+K19+K24+K15)</f>
        <v>61.967558307607213</v>
      </c>
      <c r="L45" s="14">
        <f>SUM(L4+L16+L19+L24)</f>
        <v>70.74851485148514</v>
      </c>
      <c r="M45" s="14">
        <f>SUM(M4+M16+M24+M25)</f>
        <v>75.887942289318005</v>
      </c>
      <c r="N45" s="5">
        <f>SUM(N3+N16+N24+N25)</f>
        <v>78.535816767925212</v>
      </c>
      <c r="O45" s="62">
        <f>SUM(O3+O16+O24+O25)</f>
        <v>78.1929063822096</v>
      </c>
      <c r="P45" s="43">
        <f>SUM(P3+P16+P24+P25)</f>
        <v>84.152173798549683</v>
      </c>
    </row>
    <row r="46" spans="1:16" ht="13" customHeight="1">
      <c r="A46" s="34" t="s">
        <v>20</v>
      </c>
      <c r="B46" s="14">
        <f>SUMSQ(B6,B24,B19,B27)</f>
        <v>2238.67</v>
      </c>
      <c r="C46" s="14">
        <v>1692.3699999999997</v>
      </c>
      <c r="D46" s="14">
        <f>SUMSQ(D24,D19,D6,D30)</f>
        <v>1636.84</v>
      </c>
      <c r="E46" s="14">
        <f>SUMSQ(E24,E19,E6,E22)</f>
        <v>1360.94</v>
      </c>
      <c r="F46" s="14">
        <f>SUMSQ(F24,F6,F28,F30,F7,F8,F9,F15,F16,F19,F20,F21,F22,F23,F25,F35,F36,F37,F38,F40)</f>
        <v>1086.6051109386112</v>
      </c>
      <c r="G46" s="14">
        <v>1438.1892412647001</v>
      </c>
      <c r="H46" s="14">
        <v>1347.01093766542</v>
      </c>
      <c r="I46" s="19">
        <v>1322.3602385286299</v>
      </c>
      <c r="J46" s="19">
        <f>SUMSQ(J5,J15,J16,J19,J20,J24,J25,J28,J29,J34,J36,J37,J38,J40,)</f>
        <v>1260.708173979252</v>
      </c>
      <c r="K46" s="14">
        <f>SUMSQ(K5,K15,K16,K19,K20,K24,K25,K28,K29,K34,K36,K37,K38)</f>
        <v>1286.9169863529576</v>
      </c>
      <c r="L46" s="14">
        <f>SUMSQ(L3,L4,L16,L19,L24,L25,L28,L29,L33,L36,L37,L38,1.8)</f>
        <v>1543.2796564065898</v>
      </c>
      <c r="M46" s="14">
        <f>SUMSQ(M3,M4,M16,M24,M25,M28,M29,M33,M36,M37,M38,M38)</f>
        <v>1663.8850800897753</v>
      </c>
      <c r="N46" s="20">
        <f>SUMSQ(N3,N16,N24,N25,N28,N29,N33,N36,N38)</f>
        <v>1764.1655056021546</v>
      </c>
      <c r="O46" s="5">
        <f>SUMSQ(O3,O16,O24,O25,O28,O29,O33,O36,O37,O38,O39)</f>
        <v>1757.9363133186987</v>
      </c>
      <c r="P46" s="43">
        <f>SUMSQ(P3,P16,P24,P25,P28,P29,P33,P36,P37,P38,P39)</f>
        <v>2025.950550126435</v>
      </c>
    </row>
    <row r="47" spans="1:16" ht="13" customHeight="1">
      <c r="A47" s="63" t="s">
        <v>21</v>
      </c>
      <c r="B47" s="64"/>
      <c r="C47" s="64"/>
      <c r="D47" s="64"/>
      <c r="E47" s="64">
        <f t="shared" ref="E47:I48" si="1">E45</f>
        <v>56.999999999999993</v>
      </c>
      <c r="F47" s="64">
        <f t="shared" si="1"/>
        <v>52.1</v>
      </c>
      <c r="G47" s="64">
        <f t="shared" si="1"/>
        <v>61.600410547525051</v>
      </c>
      <c r="H47" s="64">
        <f t="shared" si="1"/>
        <v>66.257116442022294</v>
      </c>
      <c r="I47" s="64">
        <f t="shared" si="1"/>
        <v>63.756345177664983</v>
      </c>
      <c r="J47" s="65">
        <f>SUM(J5+J15+J19+J24)</f>
        <v>62.354363807366752</v>
      </c>
      <c r="K47" s="64">
        <f>K45</f>
        <v>61.967558307607213</v>
      </c>
      <c r="L47" s="66">
        <f>L45</f>
        <v>70.74851485148514</v>
      </c>
      <c r="M47" s="66">
        <f>SUM(M4+M17+M24+M25)</f>
        <v>68.341650030372051</v>
      </c>
      <c r="N47" s="67">
        <f>SUM(N3+N17+N24+N25)</f>
        <v>70.472280856322996</v>
      </c>
      <c r="O47" s="68">
        <f>SUM(O3+O17+O24+O25)</f>
        <v>70.152010357910626</v>
      </c>
      <c r="P47" s="43">
        <f>SUM(P3+P17+P24+P25)</f>
        <v>74.665814846442501</v>
      </c>
    </row>
    <row r="48" spans="1:16" ht="13" customHeight="1">
      <c r="A48" s="63" t="s">
        <v>22</v>
      </c>
      <c r="B48" s="64"/>
      <c r="C48" s="64"/>
      <c r="D48" s="64"/>
      <c r="E48" s="64">
        <f t="shared" si="1"/>
        <v>1360.94</v>
      </c>
      <c r="F48" s="64">
        <f t="shared" si="1"/>
        <v>1086.6051109386112</v>
      </c>
      <c r="G48" s="64">
        <f t="shared" si="1"/>
        <v>1438.1892412647001</v>
      </c>
      <c r="H48" s="64">
        <f t="shared" si="1"/>
        <v>1347.01093766542</v>
      </c>
      <c r="I48" s="65">
        <f t="shared" si="1"/>
        <v>1322.3602385286299</v>
      </c>
      <c r="J48" s="65">
        <f>SUMSQ(J5,J15,J17,J18,J19,J20,J24,J25,J28,J29,J34,J36,J37,J38,J40)</f>
        <v>1254.2074989287478</v>
      </c>
      <c r="K48" s="64">
        <f>SUMSQ(K5,K15,K17,K18,K19,K20,K24,K25,K28,K29,K34,K36,K37,K38)</f>
        <v>1281.6442692764247</v>
      </c>
      <c r="L48" s="64">
        <f>SUMSQ(L3,L4,L17,L18,L19,L24,L25,L28,L29,L33,L36,L37,L38,1.8)</f>
        <v>1529.2700996964634</v>
      </c>
      <c r="M48" s="64">
        <f>SUMSQ(M3,M4,M17,M18,M24,M25,M28,M29,M33,M36,M37,M38)</f>
        <v>1454.5247199306857</v>
      </c>
      <c r="N48" s="69">
        <f>SUMSQ(N3,N17,N18,N24,N25,N28,N29,N33,N36,N38)</f>
        <v>1527.5831439526321</v>
      </c>
      <c r="O48" s="70">
        <f>SUMSQ(O3,O17,O18,O24,O25,O28,O29,O33,O36,O37,O38,O39)</f>
        <v>1541.1369742896259</v>
      </c>
      <c r="P48" s="43">
        <f>SUMSQ(P3,P17,P18,P24,P25,P28,P29,P33,P36,P37,P38,P39)</f>
        <v>1773.3943158344241</v>
      </c>
    </row>
    <row r="50" spans="1:16">
      <c r="A50" s="71" t="s">
        <v>23</v>
      </c>
      <c r="H50" s="73"/>
      <c r="I50" s="73"/>
      <c r="J50" s="74"/>
      <c r="K50" s="75"/>
      <c r="L50" s="72"/>
      <c r="M50" s="33"/>
      <c r="N50" s="33"/>
      <c r="O50" s="33"/>
      <c r="P50" s="33"/>
    </row>
    <row r="51" spans="1:16">
      <c r="H51" s="73"/>
      <c r="I51" s="73"/>
      <c r="J51" s="74"/>
      <c r="K51" s="75"/>
      <c r="L51" s="72"/>
      <c r="M51" s="33"/>
      <c r="N51" s="33"/>
      <c r="O51" s="33"/>
      <c r="P51" s="33"/>
    </row>
  </sheetData>
  <mergeCells count="1">
    <mergeCell ref="A1:E1"/>
  </mergeCells>
  <phoneticPr fontId="3" type="noConversion"/>
  <hyperlinks>
    <hyperlink ref="A32" location="'Broadcast%20TV%20Revenu'!A61" display="  Pathonic (21)"/>
    <hyperlink ref="L2" location="_edn2" display="2008(2)"/>
  </hyperlinks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TV Universe ($)</vt:lpstr>
      <vt:lpstr>Total TV Universe (mrkt share)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2013-10-22T01:15:57Z</dcterms:created>
  <dcterms:modified xsi:type="dcterms:W3CDTF">2013-10-22T01:16:55Z</dcterms:modified>
</cp:coreProperties>
</file>