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Default Extension="jpeg" ContentType="image/jpeg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1360" windowHeight="13840" tabRatio="500"/>
  </bookViews>
  <sheets>
    <sheet name="Radio ($)" sheetId="1" r:id="rId1"/>
    <sheet name="Radio (mrkt share)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7" i="1"/>
  <c r="L3" i="2"/>
  <c r="L7"/>
  <c r="L10"/>
  <c r="L11"/>
  <c r="L14"/>
  <c r="L18"/>
  <c r="L20"/>
  <c r="L21"/>
  <c r="L22"/>
  <c r="L23"/>
  <c r="L24"/>
  <c r="L29"/>
  <c r="K3"/>
  <c r="K7"/>
  <c r="K10"/>
  <c r="K11"/>
  <c r="K18"/>
  <c r="K20"/>
  <c r="K21"/>
  <c r="K22"/>
  <c r="K23"/>
  <c r="K24"/>
  <c r="K29"/>
  <c r="J3"/>
  <c r="J7"/>
  <c r="J10"/>
  <c r="J11"/>
  <c r="J14"/>
  <c r="J18"/>
  <c r="J20"/>
  <c r="J29"/>
  <c r="I3"/>
  <c r="I7"/>
  <c r="I10"/>
  <c r="I11"/>
  <c r="I15"/>
  <c r="I18"/>
  <c r="I20"/>
  <c r="I21"/>
  <c r="I22"/>
  <c r="I23"/>
  <c r="I24"/>
  <c r="I29"/>
  <c r="H3"/>
  <c r="H7"/>
  <c r="H10"/>
  <c r="H11"/>
  <c r="H15"/>
  <c r="H18"/>
  <c r="H20"/>
  <c r="H21"/>
  <c r="H22"/>
  <c r="H23"/>
  <c r="H24"/>
  <c r="H29"/>
  <c r="G4"/>
  <c r="G3"/>
  <c r="G7"/>
  <c r="G10"/>
  <c r="G11"/>
  <c r="G17"/>
  <c r="G18"/>
  <c r="G21"/>
  <c r="G23"/>
  <c r="G22"/>
  <c r="G24"/>
  <c r="G29"/>
  <c r="F3"/>
  <c r="F4"/>
  <c r="F5"/>
  <c r="F7"/>
  <c r="F10"/>
  <c r="F11"/>
  <c r="F12"/>
  <c r="F17"/>
  <c r="F18"/>
  <c r="F22"/>
  <c r="F23"/>
  <c r="F24"/>
  <c r="F29"/>
  <c r="E29"/>
  <c r="D29"/>
  <c r="C29"/>
  <c r="B29"/>
  <c r="L28"/>
  <c r="K28"/>
  <c r="J28"/>
  <c r="I28"/>
  <c r="H28"/>
  <c r="G28"/>
  <c r="F28"/>
  <c r="E28"/>
  <c r="D28"/>
  <c r="C28"/>
  <c r="B28"/>
  <c r="K14"/>
</calcChain>
</file>

<file path=xl/comments1.xml><?xml version="1.0" encoding="utf-8"?>
<comments xmlns="http://schemas.openxmlformats.org/spreadsheetml/2006/main">
  <authors>
    <author>LR</author>
    <author>Dwayne Winseck</author>
  </authors>
  <commentList>
    <comment ref="J3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BCE Radio Aggregate Annual Report, 2011</t>
        </r>
      </text>
    </comment>
    <comment ref="K3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BCE Radio Aggregate Annual Report, 2012
</t>
        </r>
      </text>
    </comment>
    <comment ref="H4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CTVglobalmedia Aggregate Annual Report, 2008</t>
        </r>
      </text>
    </comment>
    <comment ref="I4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CTVglobalmedia Aggregate Annual Report, 2010</t>
        </r>
      </text>
    </comment>
    <comment ref="H7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Aggregate Annual Report, 2008; sum of Astral Eng and French revenue</t>
        </r>
      </text>
    </comment>
    <comment ref="I7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Aggregate Annual Report, 2010; sum of Astral Eng and French revenue</t>
        </r>
      </text>
    </comment>
    <comment ref="J7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Aggregate Annual Report, 2011; sum of Astral Eng and French revenue</t>
        </r>
      </text>
    </comment>
    <comment ref="K7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Astral Annual Report, 2012</t>
        </r>
      </text>
    </comment>
    <comment ref="H11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CBC Aggregate Annual Report, 2008; sum of Eng and French revenue</t>
        </r>
      </text>
    </comment>
    <comment ref="I11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CBC Aggregate Annual Report, 2010; sum of Eng and French revenue</t>
        </r>
      </text>
    </comment>
    <comment ref="J11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CBC Aggregate Annual Report, 2011; sum of Eng and French revenue</t>
        </r>
      </text>
    </comment>
    <comment ref="K11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CBC Aggregate Annual Report, 2012; sum of Eng and French revenue</t>
        </r>
      </text>
    </comment>
    <comment ref="G12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Rogers Annual Report, 2004 p.42
</t>
        </r>
      </text>
    </comment>
    <comment ref="H12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Rogers Aggregate Annual Report, 2008</t>
        </r>
      </text>
    </comment>
    <comment ref="I12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Rogers Aggregate Annual Report, 2010</t>
        </r>
      </text>
    </comment>
    <comment ref="J12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Rogers Aggregate Annual Report, 2011</t>
        </r>
      </text>
    </comment>
    <comment ref="K12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Rogers Aggregate Annual Report, 2012</t>
        </r>
      </text>
    </comment>
    <comment ref="H15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Corus Radio Aggregate Annual Returns, 2008 sum of English and French, 2008 </t>
        </r>
      </text>
    </comment>
    <comment ref="I15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Corus Radio Aggregate Annual Returns, 2008 sum of English and French, 2010</t>
        </r>
      </text>
    </comment>
    <comment ref="J15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Corus Radio Aggregate Annual Returns, 2008 sum of English and French, 2011</t>
        </r>
      </text>
    </comment>
    <comment ref="K15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Corus Radio Aggregate Annual Returns, 2008 sum of English and French, 2012 </t>
        </r>
      </text>
    </comment>
    <comment ref="H18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NewCap Aggregate Annual Returns, 2008</t>
        </r>
      </text>
    </comment>
    <comment ref="I18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NewCap Aggregate Annual Returns, 2010</t>
        </r>
      </text>
    </comment>
    <comment ref="J18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NewCap Aggregate Annual Returns, 2011</t>
        </r>
      </text>
    </comment>
    <comment ref="K18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NewCap Aggregate Annual Returns, 2012</t>
        </r>
      </text>
    </comment>
    <comment ref="H20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Cogeco Aggregate Annual Report, 2008</t>
        </r>
      </text>
    </comment>
    <comment ref="I20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Cogeco Aggregate Annual Report, 2010</t>
        </r>
      </text>
    </comment>
    <comment ref="J20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Cogeco Aggregate Annual Report, 2011</t>
        </r>
      </text>
    </comment>
    <comment ref="K20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Cogeco Aggregate Annual Report, 2012</t>
        </r>
      </text>
    </comment>
    <comment ref="H27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commercial radio financial summary, 2008-2012 plus CBC radio aggregate annual return, French and English, 2008</t>
        </r>
      </text>
    </comment>
    <comment ref="I27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commercial radio financial summary, 2008-2012 plus CBC radio aggregate annual return, French and English, 2010</t>
        </r>
      </text>
    </comment>
    <comment ref="J27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commercial radio financial summary, 2008-2012 plus CBC radio aggregate annual return, French and English, 2011</t>
        </r>
      </text>
    </comment>
    <comment ref="K27" authorId="0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commercial radio financial summary, 2008-2012 plus CBC radio aggregate annual return, French and English, 2012</t>
        </r>
      </text>
    </comment>
    <comment ref="L27" authorId="1">
      <text>
        <r>
          <rPr>
            <b/>
            <sz val="9"/>
            <color indexed="81"/>
            <rFont val="Calibri"/>
            <family val="2"/>
          </rPr>
          <t>Dwayne Winseck:</t>
        </r>
        <r>
          <rPr>
            <sz val="9"/>
            <color indexed="81"/>
            <rFont val="Calibri"/>
            <family val="2"/>
          </rPr>
          <t xml:space="preserve">
CRTC commercial radio financial summary, 2008-2012 plus CBC radio aggregate annual return, French and English, 2012</t>
        </r>
      </text>
    </comment>
  </commentList>
</comments>
</file>

<file path=xl/comments2.xml><?xml version="1.0" encoding="utf-8"?>
<comments xmlns="http://schemas.openxmlformats.org/spreadsheetml/2006/main">
  <authors>
    <author>Dwayne Winseck</author>
    <author>LR</author>
  </authors>
  <commentList>
    <comment ref="L15" authorId="0">
      <text>
        <r>
          <rPr>
            <b/>
            <sz val="9"/>
            <color indexed="81"/>
            <rFont val="Calibri"/>
            <family val="2"/>
          </rPr>
          <t>Dwayne Winseck:</t>
        </r>
        <r>
          <rPr>
            <sz val="9"/>
            <color indexed="81"/>
            <rFont val="Calibri"/>
            <family val="2"/>
          </rPr>
          <t xml:space="preserve">
Bell does not supply revenue figures for the 10 stations that it will divest. However, using the number of stations out of Bell's total (10/116) as a proxy for the value of the revenues they account for allows us to come up with a figure of 8.6% of Astral's revenues, or $29.6 million. Corus will acquire 2 of these in English language markets, yielding a figure of $5.8million, or 20% of the estimated revenues of radio stations to be divested. </t>
        </r>
      </text>
    </comment>
    <comment ref="K27" authorId="1">
      <text>
        <r>
          <rPr>
            <b/>
            <sz val="9"/>
            <color indexed="81"/>
            <rFont val="Calibri"/>
            <family val="2"/>
          </rPr>
          <t>LR:</t>
        </r>
        <r>
          <rPr>
            <sz val="9"/>
            <color indexed="81"/>
            <rFont val="Calibri"/>
            <family val="2"/>
          </rPr>
          <t xml:space="preserve">
CRTC commercial radio financial summary, 2008-2012 plus CBC radio aggregate annual return, French and English, 2012</t>
        </r>
      </text>
    </comment>
    <comment ref="L27" authorId="0">
      <text>
        <r>
          <rPr>
            <b/>
            <sz val="9"/>
            <color indexed="81"/>
            <rFont val="Calibri"/>
            <family val="2"/>
          </rPr>
          <t>Dwayne Winseck:</t>
        </r>
        <r>
          <rPr>
            <sz val="9"/>
            <color indexed="81"/>
            <rFont val="Calibri"/>
            <family val="2"/>
          </rPr>
          <t xml:space="preserve">
CRTC commercial radio financial summary, 2008-2012 plus CBC radio aggregate annual return, French and English, 2012</t>
        </r>
      </text>
    </comment>
  </commentList>
</comments>
</file>

<file path=xl/sharedStrings.xml><?xml version="1.0" encoding="utf-8"?>
<sst xmlns="http://schemas.openxmlformats.org/spreadsheetml/2006/main" count="82" uniqueCount="68">
  <si>
    <t>NewCap</t>
    <phoneticPr fontId="4" type="noConversion"/>
  </si>
  <si>
    <t>Moffatt</t>
    <phoneticPr fontId="4" type="noConversion"/>
  </si>
  <si>
    <t>2.4Rogers (1991)</t>
  </si>
  <si>
    <t>Jim Pattison</t>
    <phoneticPr fontId="4" type="noConversion"/>
  </si>
  <si>
    <t>Rawlco</t>
    <phoneticPr fontId="4" type="noConversion"/>
  </si>
  <si>
    <t>Maritime Broadcast</t>
    <phoneticPr fontId="4" type="noConversion"/>
  </si>
  <si>
    <t>Golden West</t>
    <phoneticPr fontId="4" type="noConversion"/>
  </si>
  <si>
    <t>Okanagen Skeena</t>
  </si>
  <si>
    <t>C4</t>
  </si>
  <si>
    <t>See Notes and Sources Appendix.</t>
    <phoneticPr fontId="4" type="noConversion"/>
  </si>
  <si>
    <t>Radio Ownership Groups, Revenues (mill$) and Concentration levels, 1984-2012 (1)</t>
    <phoneticPr fontId="4" type="noConversion"/>
  </si>
  <si>
    <t>Bell Astral</t>
  </si>
  <si>
    <t>Bell</t>
  </si>
  <si>
    <t xml:space="preserve">  CTVGlobemedia</t>
  </si>
  <si>
    <t xml:space="preserve">  Bell Globe Media</t>
  </si>
  <si>
    <t>CTVgm (2007)</t>
  </si>
  <si>
    <t xml:space="preserve">  CHUM</t>
  </si>
  <si>
    <t>BGM 2006</t>
  </si>
  <si>
    <t>Astral Media</t>
  </si>
  <si>
    <t xml:space="preserve">  Standard</t>
  </si>
  <si>
    <t>Astral (2007)</t>
  </si>
  <si>
    <t xml:space="preserve">  Telemedia</t>
  </si>
  <si>
    <t>Standard/Astral (2002)</t>
  </si>
  <si>
    <t xml:space="preserve">  Radio-mutuel</t>
  </si>
  <si>
    <t>Astral</t>
  </si>
  <si>
    <t>CBC/Radio Canada(2)</t>
  </si>
  <si>
    <t>Rogers</t>
  </si>
  <si>
    <t xml:space="preserve">  Maclean Hunter</t>
  </si>
  <si>
    <t>Rogers (1994)</t>
  </si>
  <si>
    <t xml:space="preserve">  Selkirk</t>
  </si>
  <si>
    <t>M-H (1989)</t>
  </si>
  <si>
    <t>Shaw Corus</t>
  </si>
  <si>
    <t>166.7 (1)</t>
  </si>
  <si>
    <t xml:space="preserve">  Metrio-media</t>
  </si>
  <si>
    <t>Shaw (2001)</t>
  </si>
  <si>
    <t xml:space="preserve">  Western Int'l Comm</t>
  </si>
  <si>
    <t>Shaw</t>
  </si>
  <si>
    <t>NewCap</t>
  </si>
  <si>
    <t>Moffatt</t>
  </si>
  <si>
    <t>Cogeco</t>
  </si>
  <si>
    <t>Jim Pattison</t>
  </si>
  <si>
    <t>Rawlco</t>
  </si>
  <si>
    <t>Maritime Broadcast</t>
  </si>
  <si>
    <t>Golden West</t>
  </si>
  <si>
    <t>Okanagan Skeena</t>
  </si>
  <si>
    <t>Other</t>
  </si>
  <si>
    <t>All $</t>
  </si>
  <si>
    <t xml:space="preserve">C4 </t>
  </si>
  <si>
    <t>HHI</t>
  </si>
  <si>
    <t>See Notes and Sources Appendix.</t>
    <phoneticPr fontId="4" type="noConversion"/>
  </si>
  <si>
    <t>Radio Ownership Groups, Market Shares (Percentage based on $) and Concentration Levels, 1984-2012 (1)</t>
    <phoneticPr fontId="4" type="noConversion"/>
  </si>
  <si>
    <t>1996 (97)</t>
  </si>
  <si>
    <t>Bell Astral</t>
    <phoneticPr fontId="1" type="noConversion"/>
  </si>
  <si>
    <t xml:space="preserve">  Standard</t>
    <phoneticPr fontId="4" type="noConversion"/>
  </si>
  <si>
    <t xml:space="preserve">  Telemedia</t>
    <phoneticPr fontId="4" type="noConversion"/>
  </si>
  <si>
    <t xml:space="preserve">  Radio-mutuel</t>
    <phoneticPr fontId="4" type="noConversion"/>
  </si>
  <si>
    <t>Rogers</t>
    <phoneticPr fontId="4" type="noConversion"/>
  </si>
  <si>
    <t xml:space="preserve">  Maclean Hunter</t>
    <phoneticPr fontId="4" type="noConversion"/>
  </si>
  <si>
    <t xml:space="preserve">  Selkirk</t>
    <phoneticPr fontId="4" type="noConversion"/>
  </si>
  <si>
    <t>CBC/Radio Canada(2)</t>
    <phoneticPr fontId="4" type="noConversion"/>
  </si>
  <si>
    <t>Shaw Corus (3)</t>
    <phoneticPr fontId="4" type="noConversion"/>
  </si>
  <si>
    <t xml:space="preserve">  Metro-media</t>
    <phoneticPr fontId="4" type="noConversion"/>
  </si>
  <si>
    <t xml:space="preserve">  Western Int'l Comm</t>
    <phoneticPr fontId="4" type="noConversion"/>
  </si>
  <si>
    <t>Bell</t>
    <phoneticPr fontId="4" type="noConversion"/>
  </si>
  <si>
    <t xml:space="preserve">  CTV Globemedia</t>
    <phoneticPr fontId="4" type="noConversion"/>
  </si>
  <si>
    <t xml:space="preserve">  Bell Globemedia</t>
    <phoneticPr fontId="4" type="noConversion"/>
  </si>
  <si>
    <t xml:space="preserve">  CHUM</t>
    <phoneticPr fontId="4" type="noConversion"/>
  </si>
  <si>
    <t>BGM (2006)</t>
  </si>
</sst>
</file>

<file path=xl/styles.xml><?xml version="1.0" encoding="utf-8"?>
<styleSheet xmlns="http://schemas.openxmlformats.org/spreadsheetml/2006/main">
  <numFmts count="8"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#,##0.0_);[Red]\(#,##0.0\)"/>
    <numFmt numFmtId="169" formatCode="0.0%"/>
  </numFmts>
  <fonts count="16">
    <font>
      <sz val="12"/>
      <color indexed="8"/>
      <name val="Calibri"/>
      <family val="2"/>
    </font>
    <font>
      <sz val="10"/>
      <name val="Verdana"/>
    </font>
    <font>
      <b/>
      <sz val="12"/>
      <name val="Cambria"/>
    </font>
    <font>
      <u/>
      <sz val="12"/>
      <color indexed="12"/>
      <name val="Calibri"/>
      <family val="2"/>
    </font>
    <font>
      <sz val="8"/>
      <name val="Verdana"/>
    </font>
    <font>
      <sz val="12"/>
      <name val="Calibri"/>
    </font>
    <font>
      <sz val="12"/>
      <name val="Cambria"/>
    </font>
    <font>
      <b/>
      <sz val="12"/>
      <name val="Calibri"/>
    </font>
    <font>
      <b/>
      <sz val="12"/>
      <color indexed="8"/>
      <name val="Calibri"/>
      <family val="2"/>
    </font>
    <font>
      <b/>
      <i/>
      <sz val="12"/>
      <color indexed="8"/>
      <name val="Calibri"/>
    </font>
    <font>
      <b/>
      <sz val="12"/>
      <color indexed="8"/>
      <name val="Cambria"/>
    </font>
    <font>
      <sz val="12"/>
      <color indexed="10"/>
      <name val="Cambria"/>
    </font>
    <font>
      <sz val="12"/>
      <color indexed="8"/>
      <name val="Cambria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2"/>
      <name val="MS Reference Sans Serif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2" applyFont="1" applyFill="1" applyBorder="1" applyAlignment="1" applyProtection="1">
      <alignment horizontal="left"/>
    </xf>
    <xf numFmtId="0" fontId="2" fillId="0" borderId="0" xfId="3" applyFont="1" applyFill="1" applyBorder="1" applyAlignment="1">
      <alignment horizontal="centerContinuous"/>
    </xf>
    <xf numFmtId="0" fontId="1" fillId="0" borderId="0" xfId="3" applyFont="1"/>
    <xf numFmtId="0" fontId="1" fillId="0" borderId="0" xfId="3" applyFont="1" applyFill="1"/>
    <xf numFmtId="0" fontId="1" fillId="2" borderId="0" xfId="3" applyFont="1" applyFill="1"/>
    <xf numFmtId="0" fontId="1" fillId="0" borderId="0" xfId="3"/>
    <xf numFmtId="0" fontId="5" fillId="0" borderId="0" xfId="0" applyFont="1" applyFill="1"/>
    <xf numFmtId="0" fontId="6" fillId="0" borderId="0" xfId="2" applyFont="1" applyFill="1" applyBorder="1" applyAlignment="1" applyProtection="1">
      <alignment horizontal="left"/>
    </xf>
    <xf numFmtId="0" fontId="6" fillId="0" borderId="0" xfId="3" applyFont="1" applyFill="1" applyBorder="1" applyAlignment="1">
      <alignment horizontal="centerContinuous"/>
    </xf>
    <xf numFmtId="0" fontId="6" fillId="0" borderId="0" xfId="3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/>
    <xf numFmtId="0" fontId="5" fillId="0" borderId="0" xfId="0" applyFont="1"/>
    <xf numFmtId="0" fontId="5" fillId="2" borderId="0" xfId="0" applyFont="1" applyFill="1"/>
    <xf numFmtId="164" fontId="6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2" borderId="0" xfId="0" applyNumberFormat="1" applyFont="1" applyFill="1"/>
    <xf numFmtId="0" fontId="2" fillId="0" borderId="0" xfId="0" applyFont="1"/>
    <xf numFmtId="0" fontId="2" fillId="0" borderId="0" xfId="0" applyFont="1" applyFill="1"/>
    <xf numFmtId="0" fontId="7" fillId="0" borderId="0" xfId="0" applyFont="1"/>
    <xf numFmtId="0" fontId="7" fillId="2" borderId="0" xfId="0" applyFont="1" applyFill="1"/>
    <xf numFmtId="0" fontId="8" fillId="0" borderId="0" xfId="0" applyFont="1"/>
    <xf numFmtId="164" fontId="6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Fill="1"/>
    <xf numFmtId="0" fontId="12" fillId="0" borderId="0" xfId="0" applyFont="1" applyFill="1"/>
    <xf numFmtId="0" fontId="0" fillId="2" borderId="0" xfId="0" applyFill="1"/>
    <xf numFmtId="164" fontId="11" fillId="0" borderId="0" xfId="0" applyNumberFormat="1" applyFont="1" applyFill="1"/>
    <xf numFmtId="0" fontId="12" fillId="0" borderId="0" xfId="0" applyFont="1"/>
    <xf numFmtId="0" fontId="2" fillId="0" borderId="0" xfId="0" applyFont="1" applyAlignment="1">
      <alignment horizontal="right"/>
    </xf>
    <xf numFmtId="0" fontId="10" fillId="2" borderId="0" xfId="0" applyFont="1" applyFill="1"/>
    <xf numFmtId="164" fontId="6" fillId="0" borderId="0" xfId="0" applyNumberFormat="1" applyFont="1"/>
    <xf numFmtId="164" fontId="6" fillId="2" borderId="0" xfId="0" applyNumberFormat="1" applyFont="1" applyFill="1"/>
    <xf numFmtId="169" fontId="0" fillId="0" borderId="0" xfId="1" applyNumberFormat="1" applyFont="1"/>
    <xf numFmtId="164" fontId="12" fillId="2" borderId="0" xfId="0" applyNumberFormat="1" applyFont="1" applyFill="1"/>
    <xf numFmtId="10" fontId="0" fillId="0" borderId="0" xfId="1" applyNumberFormat="1" applyFont="1"/>
    <xf numFmtId="164" fontId="6" fillId="2" borderId="0" xfId="3" applyNumberFormat="1" applyFont="1" applyFill="1" applyBorder="1" applyAlignment="1">
      <alignment horizontal="right"/>
    </xf>
    <xf numFmtId="164" fontId="15" fillId="0" borderId="0" xfId="0" applyNumberFormat="1" applyFont="1"/>
    <xf numFmtId="169" fontId="0" fillId="0" borderId="0" xfId="0" applyNumberFormat="1"/>
    <xf numFmtId="164" fontId="2" fillId="0" borderId="0" xfId="0" applyNumberFormat="1" applyFont="1" applyAlignment="1">
      <alignment horizontal="right"/>
    </xf>
    <xf numFmtId="9" fontId="0" fillId="0" borderId="0" xfId="1" applyFont="1"/>
    <xf numFmtId="164" fontId="12" fillId="0" borderId="0" xfId="0" applyNumberFormat="1" applyFont="1"/>
    <xf numFmtId="164" fontId="6" fillId="2" borderId="0" xfId="0" applyNumberFormat="1" applyFont="1" applyFill="1" applyAlignment="1">
      <alignment horizontal="right"/>
    </xf>
    <xf numFmtId="0" fontId="0" fillId="0" borderId="0" xfId="0" applyFont="1"/>
    <xf numFmtId="0" fontId="6" fillId="0" borderId="0" xfId="3" applyFont="1"/>
    <xf numFmtId="164" fontId="6" fillId="0" borderId="0" xfId="3" applyNumberFormat="1" applyFont="1"/>
    <xf numFmtId="0" fontId="8" fillId="2" borderId="0" xfId="0" applyFont="1" applyFill="1"/>
    <xf numFmtId="0" fontId="0" fillId="0" borderId="0" xfId="0" applyNumberFormat="1"/>
  </cellXfs>
  <cellStyles count="4">
    <cellStyle name="Hyperlink" xfId="2" builtinId="8"/>
    <cellStyle name="Normal" xfId="0" builtinId="0"/>
    <cellStyle name="Normal 2" xfId="3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7"/>
  <sheetViews>
    <sheetView tabSelected="1" workbookViewId="0">
      <selection activeCell="C35" sqref="C35"/>
    </sheetView>
  </sheetViews>
  <sheetFormatPr baseColWidth="10" defaultColWidth="9.5" defaultRowHeight="15"/>
  <cols>
    <col min="1" max="1" width="19" style="33" customWidth="1"/>
    <col min="2" max="2" width="12" style="29" customWidth="1"/>
    <col min="3" max="3" width="9.5" style="29"/>
    <col min="4" max="4" width="11.33203125" style="29" customWidth="1"/>
    <col min="5" max="5" width="13.33203125" style="12" customWidth="1"/>
    <col min="6" max="6" width="12" style="12" customWidth="1"/>
    <col min="7" max="7" width="12.83203125" style="12" customWidth="1"/>
    <col min="8" max="8" width="9.5" style="30"/>
    <col min="12" max="12" width="9.5" style="31"/>
  </cols>
  <sheetData>
    <row r="1" spans="1:12" s="6" customFormat="1" ht="13" customHeight="1">
      <c r="A1" s="1" t="s">
        <v>10</v>
      </c>
      <c r="B1" s="2"/>
      <c r="C1" s="2"/>
      <c r="D1" s="2"/>
      <c r="E1" s="2"/>
      <c r="F1" s="2"/>
      <c r="G1" s="2"/>
      <c r="H1" s="2"/>
      <c r="I1" s="3"/>
      <c r="J1" s="4"/>
      <c r="K1" s="3"/>
      <c r="L1" s="5"/>
    </row>
    <row r="2" spans="1:12" s="6" customFormat="1" ht="13" customHeight="1">
      <c r="A2" s="1"/>
      <c r="B2" s="2">
        <v>1984</v>
      </c>
      <c r="C2" s="2">
        <v>1988</v>
      </c>
      <c r="D2" s="2">
        <v>1992</v>
      </c>
      <c r="E2" s="2">
        <v>1996</v>
      </c>
      <c r="F2" s="2">
        <v>2000</v>
      </c>
      <c r="G2" s="2">
        <v>2004</v>
      </c>
      <c r="H2" s="2">
        <v>2008</v>
      </c>
      <c r="I2" s="3">
        <v>2010</v>
      </c>
      <c r="J2" s="7">
        <v>2011</v>
      </c>
      <c r="K2" s="3">
        <v>2012</v>
      </c>
      <c r="L2" s="5" t="s">
        <v>11</v>
      </c>
    </row>
    <row r="3" spans="1:12" s="3" customFormat="1" ht="13" customHeight="1">
      <c r="A3" s="8" t="s">
        <v>12</v>
      </c>
      <c r="B3" s="9"/>
      <c r="C3" s="10"/>
      <c r="D3" s="10"/>
      <c r="E3" s="10"/>
      <c r="F3" s="10"/>
      <c r="G3" s="10"/>
      <c r="H3" s="11"/>
      <c r="J3" s="7">
        <v>160.5</v>
      </c>
      <c r="K3" s="3">
        <v>157.19999999999999</v>
      </c>
      <c r="L3" s="5">
        <v>464.3</v>
      </c>
    </row>
    <row r="4" spans="1:12">
      <c r="A4" s="12" t="s">
        <v>13</v>
      </c>
      <c r="B4" s="13"/>
      <c r="C4" s="13"/>
      <c r="D4" s="13"/>
      <c r="E4" s="14"/>
      <c r="F4" s="14"/>
      <c r="G4" s="14"/>
      <c r="H4" s="15">
        <v>172.1</v>
      </c>
      <c r="I4" s="16">
        <v>161.19999999999999</v>
      </c>
      <c r="J4" s="7" t="s">
        <v>12</v>
      </c>
      <c r="K4" s="16"/>
      <c r="L4" s="17"/>
    </row>
    <row r="5" spans="1:12">
      <c r="A5" s="12" t="s">
        <v>14</v>
      </c>
      <c r="B5" s="13"/>
      <c r="C5" s="13"/>
      <c r="D5" s="13"/>
      <c r="E5" s="14"/>
      <c r="F5" s="14"/>
      <c r="G5" s="14"/>
      <c r="H5" s="15" t="s">
        <v>15</v>
      </c>
      <c r="I5" s="16"/>
      <c r="J5" s="7"/>
      <c r="K5" s="16"/>
      <c r="L5" s="17"/>
    </row>
    <row r="6" spans="1:12">
      <c r="A6" s="12" t="s">
        <v>16</v>
      </c>
      <c r="B6" s="13">
        <v>30.2</v>
      </c>
      <c r="C6" s="13">
        <v>51.2</v>
      </c>
      <c r="D6" s="13">
        <v>74</v>
      </c>
      <c r="E6" s="14">
        <v>69.7</v>
      </c>
      <c r="F6" s="14">
        <v>98.5</v>
      </c>
      <c r="G6" s="14">
        <v>121.1</v>
      </c>
      <c r="H6" s="15" t="s">
        <v>17</v>
      </c>
      <c r="I6" s="16"/>
      <c r="J6" s="7"/>
      <c r="K6" s="16"/>
      <c r="L6" s="17"/>
    </row>
    <row r="7" spans="1:12">
      <c r="A7" s="12" t="s">
        <v>18</v>
      </c>
      <c r="B7" s="13"/>
      <c r="C7" s="13"/>
      <c r="D7" s="13"/>
      <c r="E7" s="18"/>
      <c r="F7" s="14">
        <v>40.799999999999997</v>
      </c>
      <c r="G7" s="14">
        <v>119.4</v>
      </c>
      <c r="H7" s="13">
        <v>291.10000000000002</v>
      </c>
      <c r="I7" s="16">
        <v>326</v>
      </c>
      <c r="J7" s="7">
        <v>340.3</v>
      </c>
      <c r="K7" s="16">
        <f>108.7+221.3</f>
        <v>330</v>
      </c>
      <c r="L7" s="17">
        <v>23.1</v>
      </c>
    </row>
    <row r="8" spans="1:12">
      <c r="A8" s="12" t="s">
        <v>19</v>
      </c>
      <c r="B8" s="13">
        <v>80</v>
      </c>
      <c r="C8" s="13">
        <v>82</v>
      </c>
      <c r="D8" s="13">
        <v>84</v>
      </c>
      <c r="E8" s="14">
        <v>88.2</v>
      </c>
      <c r="F8" s="14">
        <v>90.9</v>
      </c>
      <c r="G8" s="14">
        <v>162.9</v>
      </c>
      <c r="H8" s="15" t="s">
        <v>20</v>
      </c>
      <c r="I8" s="16"/>
      <c r="J8" s="7"/>
      <c r="K8" s="16"/>
      <c r="L8" s="17"/>
    </row>
    <row r="9" spans="1:12">
      <c r="A9" s="12" t="s">
        <v>21</v>
      </c>
      <c r="B9" s="13">
        <v>22.8</v>
      </c>
      <c r="C9" s="13">
        <v>32.5</v>
      </c>
      <c r="D9" s="13">
        <v>46.3</v>
      </c>
      <c r="E9" s="14">
        <v>66.099999999999994</v>
      </c>
      <c r="F9" s="14">
        <v>125.3</v>
      </c>
      <c r="G9" s="14" t="s">
        <v>22</v>
      </c>
      <c r="H9" s="15"/>
      <c r="I9" s="16"/>
      <c r="J9" s="7"/>
      <c r="K9" s="16"/>
      <c r="L9" s="17"/>
    </row>
    <row r="10" spans="1:12">
      <c r="A10" s="12" t="s">
        <v>23</v>
      </c>
      <c r="B10" s="15">
        <v>13.7</v>
      </c>
      <c r="C10" s="15">
        <v>19.600000000000001</v>
      </c>
      <c r="D10" s="15">
        <v>27.9</v>
      </c>
      <c r="E10" s="12">
        <v>39.799999999999997</v>
      </c>
      <c r="F10" s="12" t="s">
        <v>24</v>
      </c>
      <c r="H10" s="15"/>
      <c r="I10" s="16"/>
      <c r="J10" s="7"/>
      <c r="K10" s="16"/>
      <c r="L10" s="17"/>
    </row>
    <row r="11" spans="1:12">
      <c r="A11" s="12" t="s">
        <v>25</v>
      </c>
      <c r="B11" s="13">
        <v>271.39999999999998</v>
      </c>
      <c r="C11" s="13">
        <v>273.5</v>
      </c>
      <c r="D11" s="13">
        <v>338.3</v>
      </c>
      <c r="E11" s="14">
        <v>387.3</v>
      </c>
      <c r="F11" s="14">
        <v>333.4</v>
      </c>
      <c r="G11" s="14">
        <v>374.9</v>
      </c>
      <c r="H11" s="13">
        <v>396.6</v>
      </c>
      <c r="I11" s="16">
        <v>364.7</v>
      </c>
      <c r="J11" s="7">
        <v>336.9</v>
      </c>
      <c r="K11" s="16">
        <v>325.8</v>
      </c>
      <c r="L11" s="17">
        <v>325.8</v>
      </c>
    </row>
    <row r="12" spans="1:12">
      <c r="A12" s="12" t="s">
        <v>26</v>
      </c>
      <c r="B12" s="13">
        <v>23</v>
      </c>
      <c r="C12" s="13">
        <v>25.2</v>
      </c>
      <c r="D12" s="13">
        <v>36</v>
      </c>
      <c r="E12" s="14">
        <v>77.900000000000006</v>
      </c>
      <c r="F12" s="14">
        <v>108.8</v>
      </c>
      <c r="G12" s="13">
        <v>204.7</v>
      </c>
      <c r="H12" s="15">
        <v>241.3</v>
      </c>
      <c r="I12" s="16">
        <v>204.4</v>
      </c>
      <c r="J12" s="7">
        <v>220.8</v>
      </c>
      <c r="K12" s="16">
        <v>225.1</v>
      </c>
      <c r="L12" s="17">
        <v>225.1</v>
      </c>
    </row>
    <row r="13" spans="1:12">
      <c r="A13" s="12" t="s">
        <v>27</v>
      </c>
      <c r="B13" s="13">
        <v>19.2</v>
      </c>
      <c r="C13" s="13">
        <v>26</v>
      </c>
      <c r="D13" s="13">
        <v>35.4</v>
      </c>
      <c r="E13" s="14" t="s">
        <v>28</v>
      </c>
      <c r="F13" s="14"/>
      <c r="G13" s="14"/>
      <c r="H13" s="15"/>
      <c r="I13" s="16"/>
      <c r="J13" s="7"/>
      <c r="K13" s="16"/>
      <c r="L13" s="17"/>
    </row>
    <row r="14" spans="1:12" s="16" customFormat="1">
      <c r="A14" s="12" t="s">
        <v>29</v>
      </c>
      <c r="B14" s="13">
        <v>24.2</v>
      </c>
      <c r="C14" s="13">
        <v>26</v>
      </c>
      <c r="D14" s="13" t="s">
        <v>30</v>
      </c>
      <c r="E14" s="14"/>
      <c r="F14" s="14"/>
      <c r="G14" s="14"/>
      <c r="H14" s="15"/>
      <c r="J14" s="7"/>
      <c r="L14" s="17"/>
    </row>
    <row r="15" spans="1:12">
      <c r="A15" s="12" t="s">
        <v>31</v>
      </c>
      <c r="B15" s="13">
        <v>5.0999999999999996</v>
      </c>
      <c r="C15" s="13">
        <v>4.2</v>
      </c>
      <c r="D15" s="13">
        <v>5.7</v>
      </c>
      <c r="E15" s="14">
        <v>48.6</v>
      </c>
      <c r="F15" s="14" t="s">
        <v>32</v>
      </c>
      <c r="G15" s="14">
        <v>216.1</v>
      </c>
      <c r="H15" s="15">
        <v>265.5</v>
      </c>
      <c r="I15" s="16">
        <v>248.1</v>
      </c>
      <c r="J15" s="16">
        <v>184.2</v>
      </c>
      <c r="K15" s="16">
        <v>181.5</v>
      </c>
      <c r="L15" s="17">
        <v>187.3</v>
      </c>
    </row>
    <row r="16" spans="1:12">
      <c r="A16" s="12" t="s">
        <v>33</v>
      </c>
      <c r="B16" s="13">
        <v>7.7</v>
      </c>
      <c r="C16" s="13">
        <v>11.1</v>
      </c>
      <c r="D16" s="13">
        <v>15.8</v>
      </c>
      <c r="E16" s="14">
        <v>22.5</v>
      </c>
      <c r="F16" s="12">
        <v>33.4</v>
      </c>
      <c r="G16" s="14" t="s">
        <v>34</v>
      </c>
      <c r="H16" s="15"/>
      <c r="I16" s="16"/>
      <c r="J16" s="16"/>
      <c r="K16" s="16"/>
      <c r="L16" s="17"/>
    </row>
    <row r="17" spans="1:12">
      <c r="A17" s="12" t="s">
        <v>35</v>
      </c>
      <c r="B17" s="13">
        <v>23.9</v>
      </c>
      <c r="C17" s="13">
        <v>34</v>
      </c>
      <c r="D17" s="13">
        <v>48.6</v>
      </c>
      <c r="E17" s="14">
        <v>69.3</v>
      </c>
      <c r="F17" s="14" t="s">
        <v>36</v>
      </c>
      <c r="G17" s="14"/>
      <c r="H17" s="15"/>
      <c r="I17" s="16"/>
      <c r="J17" s="16"/>
      <c r="K17" s="16"/>
      <c r="L17" s="17"/>
    </row>
    <row r="18" spans="1:12">
      <c r="A18" s="12" t="s">
        <v>37</v>
      </c>
      <c r="B18" s="13"/>
      <c r="C18" s="13">
        <v>9.4</v>
      </c>
      <c r="D18" s="13">
        <v>13.5</v>
      </c>
      <c r="E18" s="14">
        <v>19.2</v>
      </c>
      <c r="F18" s="14">
        <v>32.200000000000003</v>
      </c>
      <c r="G18" s="14">
        <v>58</v>
      </c>
      <c r="H18" s="13">
        <v>95.8</v>
      </c>
      <c r="I18" s="16">
        <v>105.5</v>
      </c>
      <c r="J18" s="16">
        <v>113.6</v>
      </c>
      <c r="K18" s="16">
        <v>117.1</v>
      </c>
      <c r="L18" s="17">
        <v>117.1</v>
      </c>
    </row>
    <row r="19" spans="1:12">
      <c r="A19" s="12" t="s">
        <v>38</v>
      </c>
      <c r="B19" s="13">
        <v>12.2</v>
      </c>
      <c r="C19" s="13">
        <v>17.399999999999999</v>
      </c>
      <c r="D19" s="13">
        <v>26</v>
      </c>
      <c r="E19" s="14"/>
      <c r="F19" s="14"/>
      <c r="G19" s="14"/>
      <c r="H19" s="15"/>
      <c r="I19" s="16"/>
      <c r="J19" s="16"/>
      <c r="K19" s="16"/>
      <c r="L19" s="17"/>
    </row>
    <row r="20" spans="1:12">
      <c r="A20" s="12" t="s">
        <v>39</v>
      </c>
      <c r="B20" s="13"/>
      <c r="C20" s="13"/>
      <c r="D20" s="13"/>
      <c r="E20" s="14"/>
      <c r="F20" s="14"/>
      <c r="G20" s="14"/>
      <c r="H20" s="13">
        <v>33.200000000000003</v>
      </c>
      <c r="I20" s="16">
        <v>41.8</v>
      </c>
      <c r="J20" s="16">
        <v>84.1</v>
      </c>
      <c r="K20" s="16">
        <v>95.4</v>
      </c>
      <c r="L20" s="17">
        <v>95.4</v>
      </c>
    </row>
    <row r="21" spans="1:12">
      <c r="A21" s="12" t="s">
        <v>40</v>
      </c>
      <c r="B21" s="13"/>
      <c r="C21" s="13"/>
      <c r="D21" s="13"/>
      <c r="E21" s="14"/>
      <c r="F21" s="14"/>
      <c r="G21" s="14">
        <v>33.6</v>
      </c>
      <c r="H21" s="15">
        <v>40.799999999999997</v>
      </c>
      <c r="I21" s="16">
        <v>38.4</v>
      </c>
      <c r="J21" s="19">
        <v>39.057129441227097</v>
      </c>
      <c r="K21" s="19">
        <v>40.094913131945503</v>
      </c>
      <c r="L21" s="20">
        <v>40.094913131945503</v>
      </c>
    </row>
    <row r="22" spans="1:12">
      <c r="A22" s="12" t="s">
        <v>41</v>
      </c>
      <c r="B22" s="13">
        <v>5.2</v>
      </c>
      <c r="C22" s="13">
        <v>7.4</v>
      </c>
      <c r="D22" s="13">
        <v>10.6</v>
      </c>
      <c r="E22" s="14">
        <v>15.1</v>
      </c>
      <c r="F22" s="14">
        <v>17.2</v>
      </c>
      <c r="G22" s="14">
        <v>20.9</v>
      </c>
      <c r="H22" s="15">
        <v>25.4</v>
      </c>
      <c r="I22" s="16">
        <v>38</v>
      </c>
      <c r="J22" s="19">
        <v>38.650284342881001</v>
      </c>
      <c r="K22" s="19">
        <v>39.677257786821102</v>
      </c>
      <c r="L22" s="20">
        <v>39.677257786821102</v>
      </c>
    </row>
    <row r="23" spans="1:12">
      <c r="A23" s="12" t="s">
        <v>42</v>
      </c>
      <c r="B23" s="13">
        <v>5.6</v>
      </c>
      <c r="C23" s="13">
        <v>8</v>
      </c>
      <c r="D23" s="13">
        <v>11.4</v>
      </c>
      <c r="E23" s="14">
        <v>16.3</v>
      </c>
      <c r="F23" s="14">
        <v>23.2</v>
      </c>
      <c r="G23" s="14">
        <v>22.9</v>
      </c>
      <c r="H23" s="15">
        <v>27.8</v>
      </c>
      <c r="I23" s="16">
        <v>30.2</v>
      </c>
      <c r="J23" s="19">
        <v>30.716804925131701</v>
      </c>
      <c r="K23" s="19">
        <v>31.532978556894701</v>
      </c>
      <c r="L23" s="20">
        <v>31.532978556894701</v>
      </c>
    </row>
    <row r="24" spans="1:12">
      <c r="A24" s="12" t="s">
        <v>43</v>
      </c>
      <c r="B24" s="13">
        <v>5.3</v>
      </c>
      <c r="C24" s="13">
        <v>7.6</v>
      </c>
      <c r="D24" s="13">
        <v>10.9</v>
      </c>
      <c r="E24" s="14">
        <v>15.5</v>
      </c>
      <c r="F24" s="14">
        <v>22.1</v>
      </c>
      <c r="G24" s="14">
        <v>27.1</v>
      </c>
      <c r="H24" s="15">
        <v>32.9</v>
      </c>
      <c r="I24" s="16">
        <v>29</v>
      </c>
      <c r="J24" s="19">
        <v>29.496269630093401</v>
      </c>
      <c r="K24" s="19">
        <v>30.2800125215213</v>
      </c>
      <c r="L24" s="20">
        <v>30.2800125215213</v>
      </c>
    </row>
    <row r="25" spans="1:12">
      <c r="A25" s="12" t="s">
        <v>44</v>
      </c>
      <c r="B25" s="13">
        <v>2.8</v>
      </c>
      <c r="C25" s="13">
        <v>4</v>
      </c>
      <c r="D25" s="13">
        <v>4.5</v>
      </c>
      <c r="E25" s="14">
        <v>4.5999999999999996</v>
      </c>
      <c r="F25" s="14"/>
      <c r="G25" s="14"/>
      <c r="H25" s="15"/>
      <c r="I25" s="16"/>
      <c r="J25" s="16"/>
      <c r="K25" s="16"/>
      <c r="L25" s="17"/>
    </row>
    <row r="26" spans="1:12">
      <c r="A26" s="12" t="s">
        <v>45</v>
      </c>
      <c r="B26" s="13"/>
      <c r="C26" s="13"/>
      <c r="D26" s="13"/>
      <c r="E26" s="14"/>
      <c r="F26" s="14"/>
      <c r="G26" s="14"/>
      <c r="H26" s="15"/>
      <c r="I26" s="16"/>
      <c r="J26" s="16"/>
      <c r="K26" s="16"/>
      <c r="L26" s="17"/>
    </row>
    <row r="27" spans="1:12" s="25" customFormat="1">
      <c r="A27" s="21" t="s">
        <v>46</v>
      </c>
      <c r="B27" s="22">
        <v>831.1</v>
      </c>
      <c r="C27" s="22">
        <v>997.1</v>
      </c>
      <c r="D27" s="22">
        <v>1106.2</v>
      </c>
      <c r="E27" s="21">
        <v>1201.5</v>
      </c>
      <c r="F27" s="21">
        <v>1356.8</v>
      </c>
      <c r="G27" s="21">
        <v>1601.6</v>
      </c>
      <c r="H27" s="22">
        <v>1990.3</v>
      </c>
      <c r="I27" s="23">
        <v>1916.7</v>
      </c>
      <c r="J27" s="23">
        <v>1949.5</v>
      </c>
      <c r="K27" s="23">
        <v>1946</v>
      </c>
      <c r="L27" s="24">
        <v>1946</v>
      </c>
    </row>
    <row r="28" spans="1:12" s="27" customFormat="1">
      <c r="A28" s="21" t="s">
        <v>47</v>
      </c>
      <c r="B28" s="18">
        <v>48.800000000000004</v>
      </c>
      <c r="C28" s="18">
        <v>44.099999999999994</v>
      </c>
      <c r="D28" s="18">
        <v>49.300000000000004</v>
      </c>
      <c r="E28" s="18">
        <v>51.8</v>
      </c>
      <c r="F28" s="18">
        <v>54.112617924528301</v>
      </c>
      <c r="G28" s="18">
        <v>59.852647352647352</v>
      </c>
      <c r="H28" s="26">
        <v>60.016077978194247</v>
      </c>
      <c r="I28" s="19">
        <v>59.644180101215632</v>
      </c>
      <c r="J28" s="19">
        <v>55.511669658886888</v>
      </c>
      <c r="K28" s="19">
        <v>60.292908530318599</v>
      </c>
      <c r="L28" s="20">
        <v>63.735868448098671</v>
      </c>
    </row>
    <row r="29" spans="1:12" s="27" customFormat="1">
      <c r="A29" s="21" t="s">
        <v>48</v>
      </c>
      <c r="B29" s="18">
        <v>1218.9299999999998</v>
      </c>
      <c r="C29" s="18">
        <v>897.22999999999968</v>
      </c>
      <c r="D29" s="18">
        <v>1115.7700000000002</v>
      </c>
      <c r="E29" s="18">
        <v>1268.4700000000005</v>
      </c>
      <c r="F29" s="18">
        <v>1029.8545677155182</v>
      </c>
      <c r="G29" s="18">
        <v>1133.6607635621124</v>
      </c>
      <c r="H29" s="26">
        <v>1047.1579251011883</v>
      </c>
      <c r="I29" s="19">
        <v>1051.1078809958644</v>
      </c>
      <c r="J29" s="19">
        <v>954.05791535120454</v>
      </c>
      <c r="K29" s="19">
        <v>1026.6715712732998</v>
      </c>
      <c r="L29" s="20">
        <v>1192.2641662490357</v>
      </c>
    </row>
    <row r="31" spans="1:12">
      <c r="A31" s="28" t="s">
        <v>49</v>
      </c>
    </row>
    <row r="37" spans="2:2">
      <c r="B37" s="32"/>
    </row>
  </sheetData>
  <sheetCalcPr fullCalcOnLoad="1"/>
  <phoneticPr fontId="4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37"/>
  <sheetViews>
    <sheetView workbookViewId="0">
      <selection activeCell="E35" sqref="E35"/>
    </sheetView>
  </sheetViews>
  <sheetFormatPr baseColWidth="10" defaultRowHeight="15"/>
  <cols>
    <col min="1" max="1" width="19.1640625" customWidth="1"/>
    <col min="4" max="4" width="11.33203125" customWidth="1"/>
    <col min="5" max="5" width="11.83203125" customWidth="1"/>
    <col min="7" max="7" width="13.6640625" customWidth="1"/>
    <col min="8" max="8" width="11.1640625" style="16" customWidth="1"/>
    <col min="9" max="9" width="10.83203125" style="16"/>
  </cols>
  <sheetData>
    <row r="1" spans="1:14" s="6" customFormat="1" ht="13" customHeight="1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s="25" customFormat="1">
      <c r="A2" s="21"/>
      <c r="B2" s="34">
        <v>1984</v>
      </c>
      <c r="C2" s="34">
        <v>1988</v>
      </c>
      <c r="D2" s="34">
        <v>1992</v>
      </c>
      <c r="E2" s="34" t="s">
        <v>51</v>
      </c>
      <c r="F2" s="34">
        <v>2000</v>
      </c>
      <c r="G2" s="34">
        <v>2004</v>
      </c>
      <c r="H2" s="34">
        <v>2008</v>
      </c>
      <c r="I2" s="34">
        <v>2010</v>
      </c>
      <c r="J2" s="34">
        <v>2011</v>
      </c>
      <c r="K2" s="34">
        <v>2012</v>
      </c>
      <c r="L2" s="35" t="s">
        <v>52</v>
      </c>
    </row>
    <row r="3" spans="1:14">
      <c r="A3" s="12" t="s">
        <v>18</v>
      </c>
      <c r="B3" s="18"/>
      <c r="C3" s="18"/>
      <c r="D3" s="18"/>
      <c r="E3" s="18"/>
      <c r="F3" s="18">
        <f>40.8/F27*100</f>
        <v>3.0070754716981134</v>
      </c>
      <c r="G3" s="18">
        <f>119.4/G27*100</f>
        <v>7.4550449550449551</v>
      </c>
      <c r="H3" s="18">
        <f>291.1/H27*100</f>
        <v>14.625935788574587</v>
      </c>
      <c r="I3" s="18">
        <f>326/I27*100</f>
        <v>17.008399853915584</v>
      </c>
      <c r="J3" s="18">
        <f>340.3/J27*100</f>
        <v>17.455757886637599</v>
      </c>
      <c r="K3" s="36">
        <f>336/K27*100</f>
        <v>17.266187050359711</v>
      </c>
      <c r="L3" s="37">
        <f>23.1/L27*100</f>
        <v>1.1870503597122302</v>
      </c>
      <c r="M3" s="38"/>
    </row>
    <row r="4" spans="1:14">
      <c r="A4" s="12" t="s">
        <v>53</v>
      </c>
      <c r="B4" s="18">
        <v>9.6</v>
      </c>
      <c r="C4" s="18">
        <v>8.1999999999999993</v>
      </c>
      <c r="D4" s="18">
        <v>7.6</v>
      </c>
      <c r="E4" s="18">
        <v>7.3</v>
      </c>
      <c r="F4" s="18">
        <f>90.9/F27*100</f>
        <v>6.699587264150944</v>
      </c>
      <c r="G4" s="18">
        <f>162.9/G27*100</f>
        <v>10.171078921078921</v>
      </c>
      <c r="H4" s="18" t="s">
        <v>20</v>
      </c>
      <c r="I4" s="18"/>
      <c r="J4" s="18"/>
      <c r="K4" s="36"/>
      <c r="L4" s="39"/>
      <c r="M4" s="38"/>
      <c r="N4" s="38"/>
    </row>
    <row r="5" spans="1:14">
      <c r="A5" s="12" t="s">
        <v>54</v>
      </c>
      <c r="B5" s="18">
        <v>2.7</v>
      </c>
      <c r="C5" s="18">
        <v>3.3</v>
      </c>
      <c r="D5" s="18">
        <v>4.2</v>
      </c>
      <c r="E5" s="18">
        <v>5.5</v>
      </c>
      <c r="F5" s="18">
        <f>125.3/F27*100</f>
        <v>9.2349646226415096</v>
      </c>
      <c r="G5" s="18" t="s">
        <v>22</v>
      </c>
      <c r="H5" s="18"/>
      <c r="I5" s="18"/>
      <c r="J5" s="18"/>
      <c r="K5" s="36"/>
      <c r="L5" s="39"/>
      <c r="M5" s="38"/>
      <c r="N5" s="38"/>
    </row>
    <row r="6" spans="1:14">
      <c r="A6" s="12" t="s">
        <v>55</v>
      </c>
      <c r="B6" s="18">
        <v>1.6</v>
      </c>
      <c r="C6" s="18">
        <v>2</v>
      </c>
      <c r="D6" s="18">
        <v>2.5</v>
      </c>
      <c r="E6" s="18">
        <v>3.3</v>
      </c>
      <c r="F6" s="18" t="s">
        <v>24</v>
      </c>
      <c r="G6" s="18"/>
      <c r="H6" s="18"/>
      <c r="I6" s="18"/>
      <c r="J6" s="18"/>
      <c r="K6" s="36"/>
      <c r="L6" s="39"/>
      <c r="M6" s="38"/>
      <c r="N6" s="40"/>
    </row>
    <row r="7" spans="1:14">
      <c r="A7" s="12" t="s">
        <v>56</v>
      </c>
      <c r="B7" s="18">
        <v>2.8</v>
      </c>
      <c r="C7" s="18">
        <v>2.5</v>
      </c>
      <c r="D7" s="18">
        <v>3.3</v>
      </c>
      <c r="E7" s="18">
        <v>6.5</v>
      </c>
      <c r="F7" s="18">
        <f>108.8/F27*100</f>
        <v>8.0188679245283012</v>
      </c>
      <c r="G7" s="18">
        <f>204.7/G27*100</f>
        <v>12.780969030969031</v>
      </c>
      <c r="H7" s="18">
        <f>241.3/H27*100</f>
        <v>12.123800432095665</v>
      </c>
      <c r="I7" s="18">
        <f>204.4/I27*100</f>
        <v>10.664162362393698</v>
      </c>
      <c r="J7" s="18">
        <f>220.8/J27*100</f>
        <v>11.325981020774559</v>
      </c>
      <c r="K7" s="36">
        <f>330/K27*100</f>
        <v>16.95786228160329</v>
      </c>
      <c r="L7" s="41">
        <f>225.1/L27*100</f>
        <v>11.567317574511819</v>
      </c>
      <c r="M7" s="38"/>
      <c r="N7" s="38"/>
    </row>
    <row r="8" spans="1:14" ht="16">
      <c r="A8" s="12" t="s">
        <v>57</v>
      </c>
      <c r="B8" s="18">
        <v>2.2999999999999998</v>
      </c>
      <c r="C8" s="18">
        <v>2.6</v>
      </c>
      <c r="D8" s="18">
        <v>3.2</v>
      </c>
      <c r="E8" s="18" t="s">
        <v>28</v>
      </c>
      <c r="F8" s="18"/>
      <c r="G8" s="18"/>
      <c r="H8" s="18"/>
      <c r="I8" s="18"/>
      <c r="J8" s="18"/>
      <c r="K8" s="42"/>
      <c r="L8" s="39"/>
      <c r="M8" s="38"/>
      <c r="N8" s="43"/>
    </row>
    <row r="9" spans="1:14">
      <c r="A9" s="12" t="s">
        <v>58</v>
      </c>
      <c r="B9" s="18">
        <v>2.9</v>
      </c>
      <c r="C9" s="18">
        <v>2.6</v>
      </c>
      <c r="D9" s="18" t="s">
        <v>30</v>
      </c>
      <c r="E9" s="18"/>
      <c r="F9" s="18"/>
      <c r="G9" s="18"/>
      <c r="H9" s="18"/>
      <c r="I9" s="18"/>
      <c r="J9" s="18"/>
      <c r="K9" s="36"/>
      <c r="L9" s="39"/>
      <c r="M9" s="38"/>
    </row>
    <row r="10" spans="1:14">
      <c r="A10" s="12" t="s">
        <v>59</v>
      </c>
      <c r="B10" s="18">
        <v>32.700000000000003</v>
      </c>
      <c r="C10" s="18">
        <v>27.4</v>
      </c>
      <c r="D10" s="18">
        <v>30.6</v>
      </c>
      <c r="E10" s="18">
        <v>32.200000000000003</v>
      </c>
      <c r="F10" s="18">
        <f>333.4/F27*100</f>
        <v>24.57252358490566</v>
      </c>
      <c r="G10" s="18">
        <f>374.9/G27*100</f>
        <v>23.407842157842158</v>
      </c>
      <c r="H10" s="44">
        <f>396.6/H27*100</f>
        <v>19.926644224488772</v>
      </c>
      <c r="I10" s="44">
        <f>364.7/I27*100</f>
        <v>19.027495173996972</v>
      </c>
      <c r="J10" s="44">
        <f>336.9/J27*100</f>
        <v>17.281354193382917</v>
      </c>
      <c r="K10" s="36">
        <f>325.8/K27*100</f>
        <v>16.742034943473794</v>
      </c>
      <c r="L10" s="39">
        <f>325.8/L27*100</f>
        <v>16.742034943473794</v>
      </c>
      <c r="M10" s="45"/>
    </row>
    <row r="11" spans="1:14">
      <c r="A11" s="12" t="s">
        <v>60</v>
      </c>
      <c r="B11" s="18">
        <v>0.6</v>
      </c>
      <c r="C11" s="18">
        <v>0.4</v>
      </c>
      <c r="D11" s="18">
        <v>0.5</v>
      </c>
      <c r="E11" s="18">
        <v>4</v>
      </c>
      <c r="F11" s="18">
        <f>166.7/F27*100</f>
        <v>12.28626179245283</v>
      </c>
      <c r="G11" s="18">
        <f>216.1/G27*100</f>
        <v>13.492757242757245</v>
      </c>
      <c r="H11" s="18">
        <f>265.5/H27*100</f>
        <v>13.339697533035222</v>
      </c>
      <c r="I11" s="18">
        <f>248.1/I27*100</f>
        <v>12.944122710909376</v>
      </c>
      <c r="J11" s="18">
        <f>184.2/J27*100</f>
        <v>9.4485765580918173</v>
      </c>
      <c r="K11" s="46">
        <f>181.5/K27*100</f>
        <v>9.3268242548818083</v>
      </c>
      <c r="L11" s="39">
        <f>225.1/L27*100</f>
        <v>11.567317574511819</v>
      </c>
    </row>
    <row r="12" spans="1:14">
      <c r="A12" s="12" t="s">
        <v>61</v>
      </c>
      <c r="B12" s="18">
        <v>0.9</v>
      </c>
      <c r="C12" s="18">
        <v>1.1000000000000001</v>
      </c>
      <c r="D12" s="18">
        <v>1.4</v>
      </c>
      <c r="E12" s="18">
        <v>1.9</v>
      </c>
      <c r="F12" s="18">
        <f>33.4/F27*100</f>
        <v>2.4616745283018866</v>
      </c>
      <c r="G12" s="18" t="s">
        <v>34</v>
      </c>
      <c r="H12" s="18"/>
      <c r="I12" s="18"/>
      <c r="J12" s="18"/>
      <c r="K12" s="46"/>
      <c r="L12" s="39"/>
      <c r="M12" s="45"/>
    </row>
    <row r="13" spans="1:14">
      <c r="A13" s="12" t="s">
        <v>62</v>
      </c>
      <c r="B13" s="18">
        <v>2.9</v>
      </c>
      <c r="C13" s="18">
        <v>3.4</v>
      </c>
      <c r="D13" s="18">
        <v>4.4000000000000004</v>
      </c>
      <c r="E13" s="18">
        <v>5.8</v>
      </c>
      <c r="F13" s="18" t="s">
        <v>36</v>
      </c>
      <c r="G13" s="18"/>
      <c r="H13" s="18"/>
      <c r="I13" s="18"/>
      <c r="J13" s="18"/>
      <c r="K13" s="46"/>
      <c r="L13" s="39"/>
      <c r="M13" s="45"/>
    </row>
    <row r="14" spans="1:14">
      <c r="A14" s="12" t="s">
        <v>63</v>
      </c>
      <c r="B14" s="18"/>
      <c r="C14" s="18"/>
      <c r="D14" s="18"/>
      <c r="E14" s="18"/>
      <c r="F14" s="18"/>
      <c r="G14" s="18"/>
      <c r="H14" s="18"/>
      <c r="I14" s="18"/>
      <c r="J14" s="18">
        <f>160.5/J27*100</f>
        <v>8.2328802256988975</v>
      </c>
      <c r="K14" s="46">
        <f>157.2/K27*100</f>
        <v>8.0781089414182929</v>
      </c>
      <c r="L14" s="39">
        <f>464.3/L27*100</f>
        <v>23.859198355601233</v>
      </c>
      <c r="M14" s="45"/>
    </row>
    <row r="15" spans="1:14">
      <c r="A15" s="12" t="s">
        <v>64</v>
      </c>
      <c r="B15" s="18"/>
      <c r="C15" s="18"/>
      <c r="D15" s="18"/>
      <c r="E15" s="18"/>
      <c r="F15" s="18"/>
      <c r="G15" s="18"/>
      <c r="H15" s="18">
        <f>172.1/H27*100</f>
        <v>8.6469376475908142</v>
      </c>
      <c r="I15" s="18">
        <f>161.2/I27*100</f>
        <v>8.4102885167214474</v>
      </c>
      <c r="J15" s="18" t="s">
        <v>12</v>
      </c>
      <c r="K15" s="46"/>
      <c r="L15" s="47"/>
      <c r="M15" s="45"/>
    </row>
    <row r="16" spans="1:14">
      <c r="A16" s="12" t="s">
        <v>65</v>
      </c>
      <c r="B16" s="18"/>
      <c r="C16" s="18"/>
      <c r="D16" s="18"/>
      <c r="E16" s="18"/>
      <c r="F16" s="18"/>
      <c r="G16" s="18"/>
      <c r="H16" s="36"/>
      <c r="I16" s="18"/>
      <c r="J16" s="18"/>
      <c r="K16" s="46"/>
      <c r="L16" s="39"/>
      <c r="M16" s="45"/>
    </row>
    <row r="17" spans="1:13">
      <c r="A17" s="12" t="s">
        <v>66</v>
      </c>
      <c r="B17" s="18">
        <v>3.6</v>
      </c>
      <c r="C17" s="18">
        <v>5.0999999999999996</v>
      </c>
      <c r="D17" s="18">
        <v>6.7</v>
      </c>
      <c r="E17" s="18">
        <v>5.8</v>
      </c>
      <c r="F17" s="18">
        <f>98.5/F27*100</f>
        <v>7.2597287735849054</v>
      </c>
      <c r="G17" s="18">
        <f>121.1/G27*100</f>
        <v>7.5611888111888108</v>
      </c>
      <c r="H17" s="18" t="s">
        <v>67</v>
      </c>
      <c r="I17" s="18"/>
      <c r="J17" s="18"/>
      <c r="K17" s="46"/>
      <c r="L17" s="39"/>
      <c r="M17" s="45"/>
    </row>
    <row r="18" spans="1:13">
      <c r="A18" s="12" t="s">
        <v>0</v>
      </c>
      <c r="B18" s="18"/>
      <c r="C18" s="18">
        <v>0.9</v>
      </c>
      <c r="D18" s="18">
        <v>1.2</v>
      </c>
      <c r="E18" s="18">
        <v>1.6</v>
      </c>
      <c r="F18" s="18">
        <f>32.2/F27*100</f>
        <v>2.373231132075472</v>
      </c>
      <c r="G18" s="18">
        <f>58/G27*100</f>
        <v>3.6213786213786214</v>
      </c>
      <c r="H18" s="18">
        <f>95.8/H27*100</f>
        <v>4.8133447219012204</v>
      </c>
      <c r="I18" s="18">
        <f>105.5/I27*100</f>
        <v>5.5042520999634785</v>
      </c>
      <c r="J18" s="18">
        <f>113.6/J27*100</f>
        <v>5.8271351628622723</v>
      </c>
      <c r="K18" s="46">
        <f>117.1/K27*100</f>
        <v>6.017471736896197</v>
      </c>
      <c r="L18" s="47">
        <f>117.1/L27*100</f>
        <v>6.017471736896197</v>
      </c>
    </row>
    <row r="19" spans="1:13">
      <c r="A19" s="12" t="s">
        <v>1</v>
      </c>
      <c r="B19" s="18">
        <v>1.5</v>
      </c>
      <c r="C19" s="18">
        <v>1.7</v>
      </c>
      <c r="D19" s="18" t="s">
        <v>2</v>
      </c>
      <c r="E19" s="18"/>
      <c r="F19" s="18"/>
      <c r="G19" s="18"/>
      <c r="H19" s="18"/>
      <c r="I19" s="18"/>
      <c r="J19" s="18"/>
      <c r="K19" s="46"/>
      <c r="L19" s="39"/>
    </row>
    <row r="20" spans="1:13">
      <c r="A20" s="12" t="s">
        <v>39</v>
      </c>
      <c r="B20" s="18"/>
      <c r="C20" s="18"/>
      <c r="D20" s="18"/>
      <c r="E20" s="18"/>
      <c r="F20" s="18"/>
      <c r="G20" s="18"/>
      <c r="H20" s="18">
        <f>33.2/H27*100</f>
        <v>1.6680902376526154</v>
      </c>
      <c r="I20" s="26">
        <f>41.8/I27*100</f>
        <v>2.1808316377106483</v>
      </c>
      <c r="J20" s="26">
        <f>84.1/J27*100</f>
        <v>4.3139266478584251</v>
      </c>
      <c r="K20" s="46">
        <f>95.4/K27*100</f>
        <v>4.9023638232271329</v>
      </c>
      <c r="L20" s="47">
        <f>95.4/L27*100</f>
        <v>4.9023638232271329</v>
      </c>
    </row>
    <row r="21" spans="1:13">
      <c r="A21" s="12" t="s">
        <v>3</v>
      </c>
      <c r="B21" s="18"/>
      <c r="C21" s="18"/>
      <c r="D21" s="18"/>
      <c r="E21" s="18"/>
      <c r="F21" s="18"/>
      <c r="G21" s="18">
        <f>33.6/G27*100</f>
        <v>2.0979020979020979</v>
      </c>
      <c r="H21" s="18">
        <f>40.8/H27*100</f>
        <v>2.0499422197658643</v>
      </c>
      <c r="I21" s="26">
        <f>38.4/I27*100</f>
        <v>2.0034434183753325</v>
      </c>
      <c r="J21" s="26">
        <v>2</v>
      </c>
      <c r="K21" s="46">
        <f>40.1/K27*100</f>
        <v>2.0606372045220969</v>
      </c>
      <c r="L21" s="39">
        <f>40.0949131319455/L27*100</f>
        <v>2.0603758032859973</v>
      </c>
    </row>
    <row r="22" spans="1:13">
      <c r="A22" s="12" t="s">
        <v>4</v>
      </c>
      <c r="B22" s="18">
        <v>0.6</v>
      </c>
      <c r="C22" s="18">
        <v>0.7</v>
      </c>
      <c r="D22" s="18">
        <v>0.9</v>
      </c>
      <c r="E22" s="18">
        <v>1.3</v>
      </c>
      <c r="F22" s="18">
        <f>17.2/F27*100</f>
        <v>1.2676886792452831</v>
      </c>
      <c r="G22" s="18">
        <f>20.9/G27*100</f>
        <v>1.304945054945055</v>
      </c>
      <c r="H22" s="18">
        <f>25.4/H27*100</f>
        <v>1.2761895191679646</v>
      </c>
      <c r="I22" s="26">
        <f>38/I27*100</f>
        <v>1.9825742161005897</v>
      </c>
      <c r="J22" s="26">
        <v>2</v>
      </c>
      <c r="K22" s="46">
        <f>39.7/K27*100</f>
        <v>2.0400822199383351</v>
      </c>
      <c r="L22" s="39">
        <f>39.6772577868211/L27*100</f>
        <v>2.0389135553351028</v>
      </c>
    </row>
    <row r="23" spans="1:13">
      <c r="A23" s="12" t="s">
        <v>5</v>
      </c>
      <c r="B23" s="18">
        <v>0.7</v>
      </c>
      <c r="C23" s="18">
        <v>0.8</v>
      </c>
      <c r="D23" s="18">
        <v>1</v>
      </c>
      <c r="E23" s="18">
        <v>1.4</v>
      </c>
      <c r="F23" s="18">
        <f>23.2/F27*100</f>
        <v>1.7099056603773584</v>
      </c>
      <c r="G23" s="18">
        <f>22.9/G27*100</f>
        <v>1.4298201798201797</v>
      </c>
      <c r="H23" s="18">
        <f>27.8/H27*100</f>
        <v>1.3967743556247803</v>
      </c>
      <c r="I23" s="26">
        <f>30.2/I27*100</f>
        <v>1.5756247717431</v>
      </c>
      <c r="J23" s="26">
        <v>1.6</v>
      </c>
      <c r="K23" s="46">
        <f>31.5/K27*100</f>
        <v>1.6187050359712229</v>
      </c>
      <c r="L23" s="39">
        <f>31.5329785568947/L27*100</f>
        <v>1.6203997202926361</v>
      </c>
    </row>
    <row r="24" spans="1:13">
      <c r="A24" s="12" t="s">
        <v>6</v>
      </c>
      <c r="B24" s="18">
        <v>0.6</v>
      </c>
      <c r="C24" s="18">
        <v>0.8</v>
      </c>
      <c r="D24" s="18">
        <v>1</v>
      </c>
      <c r="E24" s="18">
        <v>1.3</v>
      </c>
      <c r="F24" s="18">
        <f>22.1/F27*100</f>
        <v>1.6288325471698113</v>
      </c>
      <c r="G24" s="18">
        <f>27.1/G27*100</f>
        <v>1.6920579420579425</v>
      </c>
      <c r="H24" s="18">
        <f>32.9/H27*100</f>
        <v>1.653017133095513</v>
      </c>
      <c r="I24" s="26">
        <f>29/I27*100</f>
        <v>1.5130171649188708</v>
      </c>
      <c r="J24" s="26">
        <v>1.5</v>
      </c>
      <c r="K24" s="46">
        <f>30.3/K27*100</f>
        <v>1.5570400822199384</v>
      </c>
      <c r="L24" s="39">
        <f>30.2800125215213/L27*100</f>
        <v>1.5560129764399435</v>
      </c>
      <c r="M24" s="48"/>
    </row>
    <row r="25" spans="1:13">
      <c r="A25" s="12" t="s">
        <v>7</v>
      </c>
      <c r="B25" s="18">
        <v>0.3</v>
      </c>
      <c r="C25" s="18">
        <v>0.4</v>
      </c>
      <c r="D25" s="18">
        <v>0.4</v>
      </c>
      <c r="E25" s="18">
        <v>0.4</v>
      </c>
      <c r="F25" s="18"/>
      <c r="G25" s="18"/>
      <c r="H25" s="18"/>
      <c r="I25" s="18"/>
      <c r="J25" s="18"/>
      <c r="K25" s="46"/>
      <c r="L25" s="39"/>
      <c r="M25" s="48"/>
    </row>
    <row r="26" spans="1:13" s="6" customFormat="1">
      <c r="A26" s="49" t="s">
        <v>45</v>
      </c>
      <c r="B26" s="49"/>
      <c r="C26" s="49"/>
      <c r="D26" s="49"/>
      <c r="E26" s="49"/>
      <c r="F26" s="49"/>
      <c r="G26" s="49"/>
      <c r="H26" s="49"/>
      <c r="I26" s="49">
        <v>11.1</v>
      </c>
      <c r="J26" s="49"/>
      <c r="K26" s="50"/>
      <c r="L26" s="39"/>
    </row>
    <row r="27" spans="1:13" s="48" customFormat="1">
      <c r="A27" s="12" t="s">
        <v>46</v>
      </c>
      <c r="B27" s="36">
        <v>831.1</v>
      </c>
      <c r="C27" s="36">
        <v>997.1</v>
      </c>
      <c r="D27" s="36">
        <v>1106.2</v>
      </c>
      <c r="E27" s="36">
        <v>1201.5</v>
      </c>
      <c r="F27" s="36">
        <v>1356.8</v>
      </c>
      <c r="G27" s="36">
        <v>1601.6</v>
      </c>
      <c r="H27" s="36">
        <v>1990.3</v>
      </c>
      <c r="I27" s="36">
        <v>1916.7</v>
      </c>
      <c r="J27" s="36">
        <v>1949.5</v>
      </c>
      <c r="K27">
        <v>1946</v>
      </c>
      <c r="L27" s="51">
        <v>1946</v>
      </c>
    </row>
    <row r="28" spans="1:13" s="48" customFormat="1">
      <c r="A28" s="12" t="s">
        <v>8</v>
      </c>
      <c r="B28" s="18">
        <f>SUM(B10+B4+B17+B13)</f>
        <v>48.800000000000004</v>
      </c>
      <c r="C28" s="18">
        <f>SUM(C4+C10+C13+C17)</f>
        <v>44.099999999999994</v>
      </c>
      <c r="D28" s="18">
        <f>SUM(D10+D4+D17+D13)</f>
        <v>49.300000000000004</v>
      </c>
      <c r="E28" s="18">
        <f>SUM(E10+E4+E7+E13)</f>
        <v>51.8</v>
      </c>
      <c r="F28" s="18">
        <f>SUM(F10+F11+F5+F7)</f>
        <v>54.112617924528301</v>
      </c>
      <c r="G28" s="18">
        <f>SUM(G4+G7+G10+G11)</f>
        <v>59.852647352647352</v>
      </c>
      <c r="H28" s="18">
        <f>SUM(H3+H7+H10+H11)</f>
        <v>60.016077978194247</v>
      </c>
      <c r="I28" s="18">
        <f>SUM(I3+I7+I10+I11)</f>
        <v>59.644180101215632</v>
      </c>
      <c r="J28" s="18">
        <f>SUM(J3+J7+J10+J11)</f>
        <v>55.511669658886888</v>
      </c>
      <c r="K28" s="46">
        <f>SUM(K3+K10+K7+K11)</f>
        <v>60.292908530318599</v>
      </c>
      <c r="L28" s="39">
        <f>SUM(L7+L10+L11+L14)</f>
        <v>63.735868448098671</v>
      </c>
      <c r="M28"/>
    </row>
    <row r="29" spans="1:13" s="48" customFormat="1">
      <c r="A29" s="12" t="s">
        <v>48</v>
      </c>
      <c r="B29" s="18">
        <f>SUMSQ(B4,B5,B6,B7,B8,B9,B10,B11,B12,B13,B17,B19,B22,B23,B24,B25)</f>
        <v>1218.9299999999998</v>
      </c>
      <c r="C29" s="18">
        <f>SUMSQ(C4,C5,C6,C7,C8,C9,C10,C11,C12,C13,C17,C18,C19,C22,C23,C24,C25)</f>
        <v>897.22999999999968</v>
      </c>
      <c r="D29" s="18">
        <f>SUMSQ(D4,D5,D6,D7,D8,D10,D11,D12,D13,D17,D18,D22,D23,D24,D25,2.4)</f>
        <v>1115.7700000000002</v>
      </c>
      <c r="E29" s="18">
        <f>SUMSQ(E4,E5,E6,E7,E10,E11,E12,E13,E17,E18,E22,E23,E24,E25)</f>
        <v>1268.4700000000005</v>
      </c>
      <c r="F29" s="18">
        <f>SUMSQ(F3,F4,F5,F7,F10,F11,F12,F17,F18,F22,F23,F24)</f>
        <v>1029.8545677155182</v>
      </c>
      <c r="G29" s="18">
        <f>SUMSQ(G4,G3,G7,G10,G11,G17,G18,G21,G23,G22,G24)</f>
        <v>1133.6607635621124</v>
      </c>
      <c r="H29" s="18">
        <f>SUMSQ(H3,H7,H10,H11,H15,H18,H20,H21,H22,H23,H24)</f>
        <v>1047.1579251011883</v>
      </c>
      <c r="I29" s="18">
        <f>SUMSQ(I3,I7,I10,I11,I15,I18,I20,I21,I22,I23,I24)</f>
        <v>1051.1078809958644</v>
      </c>
      <c r="J29" s="18">
        <f>SUMSQ(J3,J7,J10,J11,J14,J18,J20,J21,J22,J23,J24,)</f>
        <v>954.05791535120454</v>
      </c>
      <c r="K29" s="46">
        <f>SUMSQ(K3,K7,K10,K11,K18,K20,K21,K22,K23,K24)</f>
        <v>1026.6715712732998</v>
      </c>
      <c r="L29" s="39">
        <f>SUMSQ(L3,L7,L10,L11,L14,L18,L20,L21,L22,L23,L24)</f>
        <v>1192.2641662490357</v>
      </c>
      <c r="M29"/>
    </row>
    <row r="30" spans="1:13">
      <c r="A30" s="33"/>
      <c r="B30" s="33"/>
      <c r="C30" s="33"/>
      <c r="D30" s="33"/>
      <c r="E30" s="33"/>
      <c r="F30" s="33"/>
      <c r="G30" s="33"/>
      <c r="H30" s="12"/>
      <c r="I30" s="12"/>
      <c r="J30" s="33"/>
      <c r="K30" s="33"/>
      <c r="L30" s="33"/>
    </row>
    <row r="31" spans="1:13">
      <c r="A31" s="48" t="s">
        <v>9</v>
      </c>
      <c r="B31" s="33"/>
      <c r="C31" s="33"/>
      <c r="D31" s="33"/>
      <c r="E31" s="33"/>
      <c r="F31" s="33"/>
      <c r="G31" s="33"/>
      <c r="H31" s="12"/>
      <c r="I31" s="12"/>
      <c r="J31" s="33"/>
      <c r="K31" s="33"/>
      <c r="L31" s="33"/>
    </row>
    <row r="37" spans="6:6">
      <c r="F37" s="52"/>
    </row>
  </sheetData>
  <sheetCalcPr fullCalcOnLoad="1"/>
  <phoneticPr fontId="4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Radio ($)</vt:lpstr>
      <vt:lpstr>Radio (mrkt share)</vt:lpstr>
    </vt:vector>
  </TitlesOfParts>
  <Company>School of Life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Currie</dc:creator>
  <cp:lastModifiedBy>Caitlin Currie</cp:lastModifiedBy>
  <dcterms:created xsi:type="dcterms:W3CDTF">2013-10-14T14:59:13Z</dcterms:created>
  <dcterms:modified xsi:type="dcterms:W3CDTF">2013-10-14T15:01:08Z</dcterms:modified>
</cp:coreProperties>
</file>