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Default Extension="rels" ContentType="application/vnd.openxmlformats-package.relationships+xml"/>
  <Default Extension="jpeg" ContentType="image/jpeg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60" yWindow="460" windowWidth="21120" windowHeight="13580" tabRatio="500" activeTab="1"/>
  </bookViews>
  <sheets>
    <sheet name="Newspaper ($)" sheetId="1" r:id="rId1"/>
    <sheet name="Newspaper (mrkt share)" sheetId="2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3" i="1"/>
  <c r="K7"/>
  <c r="K10"/>
  <c r="K11"/>
  <c r="K12"/>
  <c r="K15"/>
  <c r="K16"/>
  <c r="K17"/>
  <c r="K19"/>
  <c r="K20"/>
  <c r="K26"/>
  <c r="K35"/>
  <c r="J3"/>
  <c r="J7"/>
  <c r="J10"/>
  <c r="J11"/>
  <c r="J12"/>
  <c r="J15"/>
  <c r="J16"/>
  <c r="J17"/>
  <c r="J19"/>
  <c r="J20"/>
  <c r="J26"/>
  <c r="J35"/>
  <c r="I3"/>
  <c r="I7"/>
  <c r="I10"/>
  <c r="I11"/>
  <c r="I13"/>
  <c r="I15"/>
  <c r="I16"/>
  <c r="I17"/>
  <c r="I19"/>
  <c r="I20"/>
  <c r="I26"/>
  <c r="I35"/>
  <c r="H4"/>
  <c r="H7"/>
  <c r="H10"/>
  <c r="H11"/>
  <c r="H13"/>
  <c r="H15"/>
  <c r="H16"/>
  <c r="H17"/>
  <c r="H19"/>
  <c r="H20"/>
  <c r="H26"/>
  <c r="H35"/>
  <c r="G4"/>
  <c r="G7"/>
  <c r="G8"/>
  <c r="G10"/>
  <c r="G11"/>
  <c r="G14"/>
  <c r="G15"/>
  <c r="G16"/>
  <c r="G18"/>
  <c r="G19"/>
  <c r="G20"/>
  <c r="G26"/>
  <c r="G35"/>
  <c r="F5"/>
  <c r="F7"/>
  <c r="F10"/>
  <c r="F11"/>
  <c r="F12"/>
  <c r="F16"/>
  <c r="F18"/>
  <c r="F19"/>
  <c r="F20"/>
  <c r="F26"/>
  <c r="F27"/>
  <c r="F35"/>
  <c r="E5"/>
  <c r="E6"/>
  <c r="E7"/>
  <c r="E9"/>
  <c r="E10"/>
  <c r="E11"/>
  <c r="E12"/>
  <c r="E16"/>
  <c r="E21"/>
  <c r="E26"/>
  <c r="E28"/>
  <c r="E35"/>
  <c r="D5"/>
  <c r="D6"/>
  <c r="D9"/>
  <c r="D10"/>
  <c r="D11"/>
  <c r="D12"/>
  <c r="D16"/>
  <c r="D21"/>
  <c r="D23"/>
  <c r="D24"/>
  <c r="D26"/>
  <c r="D35"/>
  <c r="C5"/>
  <c r="C6"/>
  <c r="C9"/>
  <c r="C10"/>
  <c r="C11"/>
  <c r="C12"/>
  <c r="C16"/>
  <c r="C21"/>
  <c r="C23"/>
  <c r="C24"/>
  <c r="C26"/>
  <c r="C35"/>
  <c r="B6"/>
  <c r="B9"/>
  <c r="B10"/>
  <c r="B11"/>
  <c r="B12"/>
  <c r="B16"/>
  <c r="B21"/>
  <c r="B22"/>
  <c r="B24"/>
  <c r="B23"/>
  <c r="B25"/>
  <c r="B26"/>
  <c r="B29"/>
  <c r="B35"/>
  <c r="K34"/>
  <c r="J34"/>
  <c r="I34"/>
  <c r="H34"/>
  <c r="G34"/>
  <c r="F34"/>
  <c r="E34"/>
  <c r="D34"/>
  <c r="C34"/>
  <c r="B34"/>
  <c r="K30"/>
  <c r="J30"/>
  <c r="I30"/>
  <c r="H30"/>
  <c r="G30"/>
  <c r="F30"/>
  <c r="E30"/>
  <c r="D30"/>
  <c r="C30"/>
  <c r="B30"/>
</calcChain>
</file>

<file path=xl/comments1.xml><?xml version="1.0" encoding="utf-8"?>
<comments xmlns="http://schemas.openxmlformats.org/spreadsheetml/2006/main">
  <authors>
    <author>Dwayne Winseck</author>
  </authors>
  <commentList>
    <comment ref="I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Postmedia Annual Report 2011, p. 10. </t>
        </r>
      </text>
    </comment>
    <comment ref="J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Postmedia Annual Report 2011, p. 10. </t>
        </r>
      </text>
    </comment>
    <comment ref="K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Postmedia Annual Report pp. 58 and 75. Revenues decrease between 2011 and 2012 reflects two things: (1) sale of of Lower Mainland Publishing Group, Victoria Times Colonist and Vancouver Island Newspaper Group, to Glacier Media in November 2011 and (2) a decline of $67 million in general. </t>
        </r>
      </text>
    </comment>
    <comment ref="G4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Canwest Annual Report 2004, p. 15.</t>
        </r>
      </text>
    </comment>
    <comment ref="H4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Canwest Annual Report 2009, p. 13.</t>
        </r>
      </text>
    </comment>
    <comment ref="E5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Hollinger Annual Report 1997, p. 28.</t>
        </r>
      </text>
    </comment>
    <comment ref="F5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Hollingers Annual Report 2000, p. 39. Hollinger acquired most of the remaining stock in Southam that it did not already own in 1999, giving it 97% ownership stake in the company (Annual Report 2000, p. 31). Hollinger sold the Southam papers to Canwest in November 2000.</t>
        </r>
      </text>
    </comment>
    <comment ref="F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Annual Report 2000, p. 49.</t>
        </r>
      </text>
    </comment>
    <comment ref="G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Annual Report 2004, p. 68.</t>
        </r>
      </text>
    </comment>
    <comment ref="H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Annual Report 2008, p. 75.</t>
        </r>
      </text>
    </comment>
    <comment ref="I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Annual Report 2010, p. 9.</t>
        </r>
      </text>
    </comment>
    <comment ref="J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Annual Report pp. 72-73.</t>
        </r>
      </text>
    </comment>
    <comment ref="K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Annual Report pp. 72-73.</t>
        </r>
      </text>
    </comment>
    <comment ref="E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1996, p. 20.</t>
        </r>
      </text>
    </comment>
    <comment ref="F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G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H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I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J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K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A11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estimated on basis of share of total weekly circulation of daily newspapers. </t>
        </r>
      </text>
    </comment>
    <comment ref="A12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estimated on basis of share of total weekly circulation of daily newspapers. </t>
        </r>
      </text>
    </comment>
    <comment ref="A16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From 2004 onwards, revenues estimated on basis of share of total weekly circulation of daily newspapers and community newspaper revenues. For years before that, estimate based on 10.6% share of community newspaper revenues.</t>
        </r>
      </text>
    </comment>
    <comment ref="A1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estimated on basis of share of total weekly circulation of daily newspapers and community newspaper revenues. </t>
        </r>
      </text>
    </comment>
    <comment ref="A19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estimated on basis of share of total weekly circulation of daily newspapers and community newspaper revenues. </t>
        </r>
      </text>
    </comment>
    <comment ref="A24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estimated on basis of share of average daily circulation of daily newspapers.</t>
        </r>
      </text>
    </comment>
    <comment ref="A26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estimated on basis of share of total weekly circulation of daily newspapers and community newspaper revenues.</t>
        </r>
      </text>
    </comment>
  </commentList>
</comments>
</file>

<file path=xl/comments2.xml><?xml version="1.0" encoding="utf-8"?>
<comments xmlns="http://schemas.openxmlformats.org/spreadsheetml/2006/main">
  <authors>
    <author>Dwayne Winseck</author>
  </authors>
  <commentList>
    <comment ref="I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Postmedia Annual Report 2011, p. 10. </t>
        </r>
      </text>
    </comment>
    <comment ref="J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Postmedia Annual Report 2011, p. 10. </t>
        </r>
      </text>
    </comment>
    <comment ref="K3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Postmedia Annual Report pp. 58 and 75. Revenues decrease between 2011 and 2012 reflects two things: (1) sale of of Lower Mainland Publishing Group, Victoria Times Colonist and Vancouver Island Newspaper Group, to Glacier Media in November 2011 and (2) a decline of $67 million in general. </t>
        </r>
      </text>
    </comment>
    <comment ref="G4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Canwest Annual Report 2004, p. 15.</t>
        </r>
      </text>
    </comment>
    <comment ref="H4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Canwest Annual Report 2009, p. 13.</t>
        </r>
      </text>
    </comment>
    <comment ref="E5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Hollinger Annual Report 1997, p. 28.</t>
        </r>
      </text>
    </comment>
    <comment ref="F5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Hollingers Annual Report 2000, p. 39. Hollinger acquired most of the remaining stock in Southam that it did not already own in 1999, giving it 97% ownership stake in the company (Annual Report 2000, p. 31). Hollinger sold the Southam papers to Canwest in November 2000.</t>
        </r>
      </text>
    </comment>
    <comment ref="F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Annual Report 2000, p. 49.</t>
        </r>
      </text>
    </comment>
    <comment ref="G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Annual Report 2004, p. 68.</t>
        </r>
      </text>
    </comment>
    <comment ref="H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Annual Report 2008, p. 75.</t>
        </r>
      </text>
    </comment>
    <comment ref="I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Annual Report 2010, p. 9.</t>
        </r>
      </text>
    </comment>
    <comment ref="J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Annual Report pp. 72-73.</t>
        </r>
      </text>
    </comment>
    <comment ref="K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Quebecor Annual Report pp. 72-73.</t>
        </r>
      </text>
    </comment>
    <comment ref="E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1996, p. 20.</t>
        </r>
      </text>
    </comment>
    <comment ref="F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G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H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I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J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K10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Torstar Annual Report 2000, p. 18.</t>
        </r>
      </text>
    </comment>
    <comment ref="A11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estimated on basis of share of total weekly circulation of daily newspapers. </t>
        </r>
      </text>
    </comment>
    <comment ref="A12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estimated on basis of share of total weekly circulation of daily newspapers. </t>
        </r>
      </text>
    </comment>
    <comment ref="G14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BCE Annual Report 2004, p. 55. Newspaper revenue is residue after revenues for Bell Globemedia TV operations (CTV and pay/specialty channels) are accounted for. </t>
        </r>
      </text>
    </comment>
    <comment ref="A16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From 2004 onwards, revenues estimated on basis of share of total weekly circulation of daily newspapers and community newspaper revenues. For years before that, estimate based on 10.6% share of community newspaper revenues.</t>
        </r>
      </text>
    </comment>
    <comment ref="A17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estimated on basis of share of total weekly circulation of daily newspapers and community newspaper revenues. </t>
        </r>
      </text>
    </comment>
    <comment ref="A19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estimated on basis of share of total weekly circulation of daily newspapers and community newspaper revenues. </t>
        </r>
      </text>
    </comment>
    <comment ref="A24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estimated on basis of share of average daily circulation of daily newspapers.</t>
        </r>
      </text>
    </comment>
    <comment ref="A26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Revenues estimated on basis of share of total weekly circulation of daily newspapers and community newspaper revenues.</t>
        </r>
      </text>
    </comment>
  </commentList>
</comments>
</file>

<file path=xl/sharedStrings.xml><?xml version="1.0" encoding="utf-8"?>
<sst xmlns="http://schemas.openxmlformats.org/spreadsheetml/2006/main" count="89" uniqueCount="56">
  <si>
    <t xml:space="preserve"> Southam</t>
    <phoneticPr fontId="2" type="noConversion"/>
  </si>
  <si>
    <t>Hollinger (1986)</t>
    <phoneticPr fontId="2" type="noConversion"/>
  </si>
  <si>
    <t>Brunswick News</t>
  </si>
  <si>
    <t>Brunswick News (9)</t>
    <phoneticPr fontId="2" type="noConversion"/>
  </si>
  <si>
    <t>Glacier/Continetal</t>
    <phoneticPr fontId="2" type="noConversion"/>
  </si>
  <si>
    <t xml:space="preserve">   Horizon </t>
    <phoneticPr fontId="2" type="noConversion"/>
  </si>
  <si>
    <t>Quebecor (1997)</t>
  </si>
  <si>
    <t>Quebecor (2007)</t>
    <phoneticPr fontId="2" type="noConversion"/>
  </si>
  <si>
    <t>Hollinger</t>
    <phoneticPr fontId="2" type="noConversion"/>
  </si>
  <si>
    <t>Canwest</t>
    <phoneticPr fontId="2" type="noConversion"/>
  </si>
  <si>
    <t xml:space="preserve">Newspaper Ownership Groups, Revenues ($Millions) and Concentration Levels, 1984-2011 </t>
    <phoneticPr fontId="2" type="noConversion"/>
  </si>
  <si>
    <r>
      <t xml:space="preserve">Newspaper Ownership Groups, </t>
    </r>
    <r>
      <rPr>
        <b/>
        <sz val="12"/>
        <rFont val="Calibri"/>
      </rPr>
      <t>Market Shares (Percentage based on Circulation) and Concentration Levels, 1984-2011 (1)</t>
    </r>
  </si>
  <si>
    <t>Post Media</t>
  </si>
  <si>
    <t xml:space="preserve">  Canwest (2)</t>
    <phoneticPr fontId="2" type="noConversion"/>
  </si>
  <si>
    <t xml:space="preserve">  Hollinger (3)</t>
    <phoneticPr fontId="2" type="noConversion"/>
  </si>
  <si>
    <t xml:space="preserve">  Southam </t>
    <phoneticPr fontId="2" type="noConversion"/>
  </si>
  <si>
    <t>Quebecor</t>
  </si>
  <si>
    <t xml:space="preserve">   Osprey</t>
    <phoneticPr fontId="2" type="noConversion"/>
  </si>
  <si>
    <t>Toronto Sun Pub./ Sun Media (4)</t>
    <phoneticPr fontId="2" type="noConversion"/>
  </si>
  <si>
    <t>Torstar (5)</t>
    <phoneticPr fontId="2" type="noConversion"/>
  </si>
  <si>
    <t>Power Corp/Gesca/Unimedia</t>
  </si>
  <si>
    <t>Thomson/ Globe and Mail (6)</t>
  </si>
  <si>
    <t>CTV Globemedia (7)</t>
    <phoneticPr fontId="2" type="noConversion"/>
  </si>
  <si>
    <t>Thomson</t>
  </si>
  <si>
    <t>Bell Globemedia (BCE/Thomson)</t>
  </si>
  <si>
    <t>CTV Globemedia</t>
  </si>
  <si>
    <t>FP CDN Newspapers</t>
  </si>
  <si>
    <t>Transcontinental</t>
  </si>
  <si>
    <t>Glacier/Continental (8)</t>
    <phoneticPr fontId="2" type="noConversion"/>
  </si>
  <si>
    <t xml:space="preserve">   Horizon </t>
    <phoneticPr fontId="2" type="noConversion"/>
  </si>
  <si>
    <t>Halifax Herald</t>
  </si>
  <si>
    <t>Brunswick News (9)</t>
    <phoneticPr fontId="2" type="noConversion"/>
  </si>
  <si>
    <t>Irving Group</t>
  </si>
  <si>
    <t>Sterling</t>
  </si>
  <si>
    <t>St. Catherines Group</t>
  </si>
  <si>
    <t>Armadale (Sifton)</t>
    <phoneticPr fontId="2" type="noConversion"/>
  </si>
  <si>
    <t>Unimedia</t>
  </si>
  <si>
    <t>Trinity (Black Press) (10)</t>
    <phoneticPr fontId="2" type="noConversion"/>
  </si>
  <si>
    <t>Annex (11)</t>
    <phoneticPr fontId="2" type="noConversion"/>
  </si>
  <si>
    <t>Nfld. Capital</t>
  </si>
  <si>
    <t>Bowes Publ.</t>
  </si>
  <si>
    <t>Independents</t>
  </si>
  <si>
    <t>Avg. Daily Circ. (mill)</t>
  </si>
  <si>
    <t>Total # of Daily Newspapers</t>
    <phoneticPr fontId="2" type="noConversion"/>
  </si>
  <si>
    <t>Revenues</t>
  </si>
  <si>
    <t>CR</t>
  </si>
  <si>
    <t>HHI</t>
  </si>
  <si>
    <t>See Notes and Sources Appendix.</t>
    <phoneticPr fontId="2" type="noConversion"/>
  </si>
  <si>
    <t>See Notes and Sources Appendix.</t>
  </si>
  <si>
    <t>P = Preliminary</t>
    <phoneticPr fontId="2" type="noConversion"/>
  </si>
  <si>
    <t>Toronto Sun (1987)</t>
    <phoneticPr fontId="2" type="noConversion"/>
  </si>
  <si>
    <t xml:space="preserve">Hollinger (1997) </t>
    <phoneticPr fontId="2" type="noConversion"/>
  </si>
  <si>
    <t>QMI (2003)</t>
  </si>
  <si>
    <t>Trinity (Black Press) (10)</t>
    <phoneticPr fontId="2" type="noConversion"/>
  </si>
  <si>
    <t>Hollinger (1987)</t>
  </si>
  <si>
    <t>Hollinger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</si>
</sst>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  <numFmt numFmtId="167" formatCode="#,##0.0_);[Red]\(#,##0.0\)"/>
  </numFmts>
  <fonts count="17">
    <font>
      <sz val="12"/>
      <color indexed="8"/>
      <name val="Calibri"/>
      <family val="2"/>
    </font>
    <font>
      <b/>
      <sz val="12"/>
      <name val="Calibri"/>
    </font>
    <font>
      <sz val="8"/>
      <name val="Verdana"/>
    </font>
    <font>
      <sz val="12"/>
      <name val="Calibri"/>
    </font>
    <font>
      <sz val="12"/>
      <name val="Cambria"/>
    </font>
    <font>
      <sz val="12"/>
      <color indexed="10"/>
      <name val="Calibri"/>
      <family val="2"/>
    </font>
    <font>
      <sz val="10"/>
      <name val="Calibri"/>
    </font>
    <font>
      <i/>
      <sz val="10"/>
      <name val="Calibri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2"/>
      <color indexed="8"/>
      <name val="Cambria"/>
    </font>
    <font>
      <sz val="12"/>
      <color indexed="10"/>
      <name val="Cambria"/>
    </font>
    <font>
      <b/>
      <sz val="12"/>
      <color indexed="8"/>
      <name val="Cambria"/>
    </font>
    <font>
      <sz val="12"/>
      <name val="Arial"/>
    </font>
    <font>
      <sz val="12"/>
      <color indexed="10"/>
      <name val="Arial"/>
    </font>
    <font>
      <sz val="12"/>
      <color indexed="53"/>
      <name val="Calibri"/>
      <family val="2"/>
    </font>
    <font>
      <b/>
      <sz val="12"/>
      <name val="Cambri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NumberFormat="1" applyFont="1"/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5" fillId="0" borderId="0" xfId="0" applyNumberFormat="1" applyFont="1"/>
    <xf numFmtId="165" fontId="5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Fill="1"/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/>
    <xf numFmtId="165" fontId="11" fillId="0" borderId="0" xfId="0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/>
    <xf numFmtId="0" fontId="4" fillId="0" borderId="0" xfId="0" applyFont="1" applyFill="1" applyBorder="1"/>
    <xf numFmtId="0" fontId="12" fillId="0" borderId="0" xfId="0" applyFont="1"/>
    <xf numFmtId="165" fontId="0" fillId="0" borderId="0" xfId="0" applyNumberFormat="1"/>
    <xf numFmtId="165" fontId="10" fillId="0" borderId="0" xfId="0" applyNumberFormat="1" applyFont="1"/>
    <xf numFmtId="165" fontId="10" fillId="0" borderId="0" xfId="0" applyNumberFormat="1" applyFont="1" applyBorder="1" applyAlignment="1">
      <alignment horizontal="right"/>
    </xf>
    <xf numFmtId="0" fontId="10" fillId="0" borderId="0" xfId="0" applyFont="1" applyBorder="1"/>
    <xf numFmtId="165" fontId="5" fillId="2" borderId="0" xfId="0" applyNumberFormat="1" applyFont="1" applyFill="1"/>
    <xf numFmtId="165" fontId="11" fillId="2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7" fontId="3" fillId="0" borderId="0" xfId="0" applyNumberFormat="1" applyFont="1" applyFill="1" applyAlignment="1">
      <alignment horizontal="right"/>
    </xf>
    <xf numFmtId="1" fontId="3" fillId="0" borderId="0" xfId="0" applyNumberFormat="1" applyFont="1" applyFill="1"/>
    <xf numFmtId="1" fontId="4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167" fontId="13" fillId="0" borderId="0" xfId="0" applyNumberFormat="1" applyFont="1" applyFill="1"/>
    <xf numFmtId="165" fontId="13" fillId="0" borderId="0" xfId="0" applyNumberFormat="1" applyFont="1" applyFill="1" applyBorder="1"/>
    <xf numFmtId="0" fontId="4" fillId="0" borderId="0" xfId="0" applyFont="1" applyFill="1"/>
    <xf numFmtId="43" fontId="13" fillId="0" borderId="0" xfId="0" applyNumberFormat="1" applyFont="1" applyFill="1"/>
    <xf numFmtId="165" fontId="4" fillId="0" borderId="0" xfId="0" applyNumberFormat="1" applyFont="1" applyFill="1" applyBorder="1"/>
    <xf numFmtId="165" fontId="4" fillId="0" borderId="0" xfId="0" applyNumberFormat="1" applyFont="1" applyFill="1" applyBorder="1" applyAlignment="1">
      <alignment horizontal="right" vertical="center"/>
    </xf>
    <xf numFmtId="165" fontId="14" fillId="0" borderId="0" xfId="0" applyNumberFormat="1" applyFont="1" applyFill="1"/>
    <xf numFmtId="165" fontId="13" fillId="0" borderId="0" xfId="0" applyNumberFormat="1" applyFont="1" applyFill="1"/>
    <xf numFmtId="0" fontId="15" fillId="0" borderId="0" xfId="0" applyFont="1"/>
    <xf numFmtId="0" fontId="3" fillId="0" borderId="0" xfId="0" applyFont="1" applyFill="1" applyAlignment="1">
      <alignment horizontal="right"/>
    </xf>
    <xf numFmtId="3" fontId="0" fillId="0" borderId="0" xfId="0" applyNumberFormat="1"/>
    <xf numFmtId="3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16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69"/>
  <sheetViews>
    <sheetView workbookViewId="0">
      <selection activeCell="J34" sqref="J34:K35"/>
    </sheetView>
  </sheetViews>
  <sheetFormatPr baseColWidth="10" defaultRowHeight="15"/>
  <cols>
    <col min="1" max="1" width="31" style="2" customWidth="1"/>
    <col min="2" max="2" width="10.83203125" style="2"/>
    <col min="3" max="3" width="16.5" style="2" customWidth="1"/>
    <col min="4" max="4" width="10.83203125" style="2"/>
    <col min="5" max="5" width="10.33203125" style="2" customWidth="1"/>
    <col min="6" max="6" width="11.6640625" style="2" customWidth="1"/>
    <col min="7" max="7" width="10.83203125" style="2"/>
    <col min="8" max="8" width="14.5" style="2" customWidth="1"/>
    <col min="9" max="9" width="11.33203125" style="2" customWidth="1"/>
    <col min="10" max="16384" width="10.83203125" style="2"/>
  </cols>
  <sheetData>
    <row r="1" spans="1:11">
      <c r="A1" s="1" t="s">
        <v>11</v>
      </c>
    </row>
    <row r="2" spans="1:11">
      <c r="A2" s="3"/>
      <c r="B2" s="3">
        <v>1984</v>
      </c>
      <c r="C2" s="3">
        <v>1988</v>
      </c>
      <c r="D2" s="3">
        <v>1992</v>
      </c>
      <c r="E2" s="4">
        <v>1996</v>
      </c>
      <c r="F2" s="4">
        <v>2000</v>
      </c>
      <c r="G2" s="4">
        <v>2004</v>
      </c>
      <c r="H2" s="4">
        <v>2008</v>
      </c>
      <c r="I2" s="4">
        <v>2010</v>
      </c>
      <c r="J2" s="4">
        <v>2011</v>
      </c>
      <c r="K2" s="5">
        <v>2012</v>
      </c>
    </row>
    <row r="3" spans="1:11">
      <c r="A3" s="3" t="s">
        <v>12</v>
      </c>
      <c r="B3" s="6"/>
      <c r="C3" s="6"/>
      <c r="D3" s="6"/>
      <c r="E3" s="7"/>
      <c r="F3" s="7"/>
      <c r="G3" s="7"/>
      <c r="H3" s="7"/>
      <c r="I3" s="7">
        <f>1052.5/I33*100</f>
        <v>21.008822707493312</v>
      </c>
      <c r="J3" s="7">
        <f>1019.1/J33*100</f>
        <v>20.470021090689965</v>
      </c>
      <c r="K3" s="8">
        <f>831.9/K33*100</f>
        <v>17.339197132018842</v>
      </c>
    </row>
    <row r="4" spans="1:11">
      <c r="A4" s="3" t="s">
        <v>13</v>
      </c>
      <c r="B4" s="6"/>
      <c r="C4" s="6"/>
      <c r="D4" s="6"/>
      <c r="E4" s="7"/>
      <c r="F4" s="7"/>
      <c r="G4" s="7">
        <f>1193.6/G33*100</f>
        <v>23.711237807664038</v>
      </c>
      <c r="H4" s="7">
        <f>1298/H33*100</f>
        <v>23.676194298013606</v>
      </c>
      <c r="I4" s="7"/>
      <c r="J4" s="7"/>
      <c r="K4" s="8"/>
    </row>
    <row r="5" spans="1:11">
      <c r="A5" s="3" t="s">
        <v>14</v>
      </c>
      <c r="B5" s="6"/>
      <c r="C5" s="9">
        <f>119.9/C33*100</f>
        <v>4.0991452991452997</v>
      </c>
      <c r="D5" s="9">
        <f>170/D33*100</f>
        <v>6.0931899641577063</v>
      </c>
      <c r="E5" s="9">
        <f>401/E33*100</f>
        <v>12.114803625377643</v>
      </c>
      <c r="F5" s="7">
        <f>1065.2/F33*100</f>
        <v>22.816261834382896</v>
      </c>
      <c r="G5" s="7"/>
      <c r="H5" s="7"/>
      <c r="I5" s="7"/>
      <c r="J5" s="7"/>
      <c r="K5" s="8"/>
    </row>
    <row r="6" spans="1:11">
      <c r="A6" s="3" t="s">
        <v>15</v>
      </c>
      <c r="B6" s="9">
        <f>532.2/B33*100</f>
        <v>24.301369863013701</v>
      </c>
      <c r="C6" s="9">
        <f>710.8/C33*100</f>
        <v>24.3008547008547</v>
      </c>
      <c r="D6" s="9">
        <f>647.8/D33*100</f>
        <v>23.218637992831539</v>
      </c>
      <c r="E6" s="7">
        <f>873.6/E33*100</f>
        <v>26.392749244712991</v>
      </c>
      <c r="F6" s="7"/>
      <c r="G6" s="7"/>
      <c r="H6" s="7"/>
      <c r="I6" s="7"/>
      <c r="J6" s="7"/>
      <c r="K6" s="8"/>
    </row>
    <row r="7" spans="1:11">
      <c r="A7" s="3" t="s">
        <v>16</v>
      </c>
      <c r="B7" s="6"/>
      <c r="C7" s="6"/>
      <c r="D7" s="6"/>
      <c r="E7" s="7">
        <f>284.7/E33*100</f>
        <v>8.6012084592145008</v>
      </c>
      <c r="F7" s="7">
        <f>850.1/F33*100</f>
        <v>18.208884890545342</v>
      </c>
      <c r="G7" s="7">
        <f>881.1/G33*100</f>
        <v>17.503327439957094</v>
      </c>
      <c r="H7" s="7">
        <f>1181.4/H33*100</f>
        <v>21.549349725480184</v>
      </c>
      <c r="I7" s="7">
        <f>1034.8/I33*100</f>
        <v>20.655515190227153</v>
      </c>
      <c r="J7" s="7">
        <f>1018.4/J33*100</f>
        <v>20.45596063071206</v>
      </c>
      <c r="K7" s="8">
        <f>960/K33*100</f>
        <v>20.009170869982075</v>
      </c>
    </row>
    <row r="8" spans="1:11">
      <c r="A8" s="3" t="s">
        <v>17</v>
      </c>
      <c r="B8" s="6"/>
      <c r="C8" s="6"/>
      <c r="D8" s="6"/>
      <c r="E8" s="7"/>
      <c r="F8" s="7"/>
      <c r="G8" s="7">
        <f>297/G33*100</f>
        <v>5.8999980134686822</v>
      </c>
      <c r="H8" s="7"/>
      <c r="I8" s="7"/>
      <c r="J8" s="7"/>
      <c r="K8" s="8"/>
    </row>
    <row r="9" spans="1:11">
      <c r="A9" s="3" t="s">
        <v>18</v>
      </c>
      <c r="B9" s="9">
        <f>192.7/B33*100</f>
        <v>8.7990867579908674</v>
      </c>
      <c r="C9" s="9">
        <f>321.8/C33*100</f>
        <v>11.001709401709402</v>
      </c>
      <c r="D9" s="9">
        <f>309.7/D33*100</f>
        <v>11.100358422939067</v>
      </c>
      <c r="E9" s="7">
        <f>370.7/E33*100</f>
        <v>11.19939577039275</v>
      </c>
      <c r="F9" s="7"/>
      <c r="G9" s="7"/>
      <c r="H9" s="7"/>
      <c r="I9" s="7"/>
      <c r="J9" s="7"/>
      <c r="K9" s="8"/>
    </row>
    <row r="10" spans="1:11">
      <c r="A10" s="3" t="s">
        <v>19</v>
      </c>
      <c r="B10" s="9">
        <f>214.6/B33*100</f>
        <v>9.7990867579908674</v>
      </c>
      <c r="C10" s="9">
        <f>286.7/C33*100</f>
        <v>9.8017094017094024</v>
      </c>
      <c r="D10" s="9">
        <f>273.4/D33*100</f>
        <v>9.7992831541218628</v>
      </c>
      <c r="E10" s="7">
        <f>508.8/E33*100</f>
        <v>15.371601208459214</v>
      </c>
      <c r="F10" s="7">
        <f>843.1/F33*100</f>
        <v>18.058947007668248</v>
      </c>
      <c r="G10" s="7">
        <f>1003.5/G33*100</f>
        <v>19.934841772780548</v>
      </c>
      <c r="H10" s="7">
        <f>1060.8/H33*100</f>
        <v>19.349543074986777</v>
      </c>
      <c r="I10" s="7">
        <f>1011.4/I33*100</f>
        <v>20.188430675875281</v>
      </c>
      <c r="J10" s="7">
        <f>1089.3/J33*100</f>
        <v>21.880084362759867</v>
      </c>
      <c r="K10" s="8">
        <f>1059.3/K33*100</f>
        <v>22.078869481845846</v>
      </c>
    </row>
    <row r="11" spans="1:11">
      <c r="A11" s="3" t="s">
        <v>20</v>
      </c>
      <c r="B11" s="9">
        <f>129.2/B33*100</f>
        <v>5.8995433789954328</v>
      </c>
      <c r="C11" s="9">
        <f>172.6/C33*100</f>
        <v>5.9008547008547003</v>
      </c>
      <c r="D11" s="9">
        <f>164.6/D33*100</f>
        <v>5.8996415770609314</v>
      </c>
      <c r="E11" s="7">
        <f>188.7/E33*100</f>
        <v>5.7009063444108756</v>
      </c>
      <c r="F11" s="7">
        <f>406.2/F33*100</f>
        <v>8.7006811463822125</v>
      </c>
      <c r="G11" s="8">
        <f>493.3/G33*100</f>
        <v>9.799558990047478</v>
      </c>
      <c r="H11" s="8">
        <f>575.6/H33*100</f>
        <v>10.499243018441165</v>
      </c>
      <c r="I11" s="8">
        <f>531/I33*100</f>
        <v>10.599225517984749</v>
      </c>
      <c r="J11" s="10">
        <f>527.7/J33*100</f>
        <v>10.599578186200665</v>
      </c>
      <c r="K11" s="10">
        <f>465.4/K33*100</f>
        <v>9.7002792946767258</v>
      </c>
    </row>
    <row r="12" spans="1:11">
      <c r="A12" s="3" t="s">
        <v>21</v>
      </c>
      <c r="B12" s="9">
        <f>406/B33*100</f>
        <v>18.538812785388128</v>
      </c>
      <c r="C12" s="9">
        <f>542.3/C33*100</f>
        <v>18.540170940170938</v>
      </c>
      <c r="D12" s="9">
        <f>494.3/D33*100</f>
        <v>17.716845878136201</v>
      </c>
      <c r="E12" s="7">
        <f>337.9/E33*100</f>
        <v>10.208459214501509</v>
      </c>
      <c r="F12" s="7">
        <f>424.8/F33*100</f>
        <v>9.0990875208842041</v>
      </c>
      <c r="G12" s="7"/>
      <c r="H12" s="7"/>
      <c r="I12" s="7"/>
      <c r="J12" s="11">
        <f>368.8/J33*100</f>
        <v>7.4078537712162298</v>
      </c>
      <c r="K12" s="10">
        <f>350.4/K33*100</f>
        <v>7.3033473675434575</v>
      </c>
    </row>
    <row r="13" spans="1:11">
      <c r="A13" s="3" t="s">
        <v>22</v>
      </c>
      <c r="B13" s="6"/>
      <c r="C13" s="6"/>
      <c r="D13" s="6"/>
      <c r="E13" s="7"/>
      <c r="F13" s="7"/>
      <c r="G13" s="7"/>
      <c r="H13" s="7">
        <f>411.2/H33*100</f>
        <v>7.5005016142859748</v>
      </c>
      <c r="I13" s="12">
        <f>400.8/I33*100</f>
        <v>8.0003193740269065</v>
      </c>
      <c r="J13" s="2" t="s">
        <v>23</v>
      </c>
    </row>
    <row r="14" spans="1:11">
      <c r="A14" s="3" t="s">
        <v>24</v>
      </c>
      <c r="B14" s="6"/>
      <c r="C14" s="6"/>
      <c r="D14" s="6"/>
      <c r="E14" s="7"/>
      <c r="F14" s="7"/>
      <c r="G14" s="7">
        <f>438.1/G33*100</f>
        <v>8.7029937026957249</v>
      </c>
      <c r="H14" s="7" t="s">
        <v>25</v>
      </c>
      <c r="I14" s="7"/>
      <c r="J14" s="7"/>
      <c r="K14" s="8"/>
    </row>
    <row r="15" spans="1:11">
      <c r="A15" s="3" t="s">
        <v>26</v>
      </c>
      <c r="B15" s="6"/>
      <c r="C15" s="6"/>
      <c r="D15" s="6"/>
      <c r="E15" s="7"/>
      <c r="F15" s="7"/>
      <c r="G15" s="8">
        <f>156.1/G33*100</f>
        <v>3.100975386876974</v>
      </c>
      <c r="H15" s="7">
        <f>191.9/H33*100</f>
        <v>3.5003556901300548</v>
      </c>
      <c r="I15" s="7">
        <f>195.4/I33*100</f>
        <v>3.9003553036049339</v>
      </c>
      <c r="J15" s="11">
        <f>154.3/J33*100</f>
        <v>3.0993271065582007</v>
      </c>
      <c r="K15" s="10">
        <f>148.7/K33*100</f>
        <v>3.0993371962149312</v>
      </c>
    </row>
    <row r="16" spans="1:11">
      <c r="A16" s="3" t="s">
        <v>27</v>
      </c>
      <c r="B16" s="6">
        <f>34.8/B33*100</f>
        <v>1.5890410958904109</v>
      </c>
      <c r="C16" s="6">
        <f>27.9/C33*100</f>
        <v>0.95384615384615379</v>
      </c>
      <c r="D16" s="6">
        <f>54.4/D33*100</f>
        <v>1.9498207885304659</v>
      </c>
      <c r="E16" s="7">
        <f>56.9/E33*100</f>
        <v>1.7190332326283988</v>
      </c>
      <c r="F16" s="7">
        <f>75.3/F33*100</f>
        <v>1.6129032258064515</v>
      </c>
      <c r="G16" s="8">
        <f>223.2/G33*100</f>
        <v>4.43393790103101</v>
      </c>
      <c r="H16" s="7">
        <f>224.5/H33*100</f>
        <v>4.0949966255038941</v>
      </c>
      <c r="I16" s="7">
        <f>204.2/I33*100</f>
        <v>4.0760110184039275</v>
      </c>
      <c r="J16" s="11">
        <f>202.9/J33*100</f>
        <v>4.0755247564527464</v>
      </c>
      <c r="K16" s="10">
        <f>195.6/K33*100</f>
        <v>4.0768685647588478</v>
      </c>
    </row>
    <row r="17" spans="1:11">
      <c r="A17" s="3" t="s">
        <v>28</v>
      </c>
      <c r="B17" s="6"/>
      <c r="C17" s="6"/>
      <c r="D17" s="6"/>
      <c r="E17" s="7"/>
      <c r="F17" s="8"/>
      <c r="G17" s="7"/>
      <c r="H17" s="7">
        <f>205.4/H33*100</f>
        <v>3.7466027032449882</v>
      </c>
      <c r="I17" s="7">
        <f>179.4/I33*100</f>
        <v>3.5809812766976727</v>
      </c>
      <c r="J17" s="11">
        <f>183.6/J33*100</f>
        <v>3.687857788490509</v>
      </c>
      <c r="K17" s="10">
        <f>211.1/K33*100</f>
        <v>4.3999333027637668</v>
      </c>
    </row>
    <row r="18" spans="1:11">
      <c r="A18" s="3" t="s">
        <v>29</v>
      </c>
      <c r="B18" s="6"/>
      <c r="C18" s="6"/>
      <c r="D18" s="6"/>
      <c r="E18" s="7"/>
      <c r="F18" s="7">
        <f>124.9/F33*100</f>
        <v>2.6753202244784302</v>
      </c>
      <c r="G18" s="7">
        <f>167.6/G33*100</f>
        <v>3.3294264884085898</v>
      </c>
      <c r="H18" s="7"/>
      <c r="I18" s="7"/>
      <c r="J18" s="7"/>
      <c r="K18" s="8"/>
    </row>
    <row r="19" spans="1:11">
      <c r="A19" s="3" t="s">
        <v>30</v>
      </c>
      <c r="B19" s="6"/>
      <c r="C19" s="6"/>
      <c r="D19" s="6"/>
      <c r="E19" s="7"/>
      <c r="F19" s="7">
        <f>87.5/F33*100</f>
        <v>1.8742235359636719</v>
      </c>
      <c r="G19" s="7">
        <f>97.7/G33*100</f>
        <v>1.9408410973599002</v>
      </c>
      <c r="H19" s="7">
        <f>121.9/H33*100</f>
        <v>2.2235193258303996</v>
      </c>
      <c r="I19" s="7">
        <f>114.5/I33*100</f>
        <v>2.2855203800550918</v>
      </c>
      <c r="J19" s="7">
        <f>98.9/J33*100</f>
        <v>1.9865421311640052</v>
      </c>
      <c r="K19" s="8">
        <f>84.6/K33*100</f>
        <v>1.7633081829171702</v>
      </c>
    </row>
    <row r="20" spans="1:11">
      <c r="A20" s="3" t="s">
        <v>31</v>
      </c>
      <c r="B20" s="6"/>
      <c r="C20" s="6"/>
      <c r="D20" s="6"/>
      <c r="E20" s="8"/>
      <c r="F20" s="7">
        <f>98.6/F33*100</f>
        <v>2.1119821788116351</v>
      </c>
      <c r="G20" s="7">
        <f>91.7/G33*100</f>
        <v>1.8216492182999267</v>
      </c>
      <c r="H20" s="7">
        <f>97.1/H33*100</f>
        <v>1.7711544424785217</v>
      </c>
      <c r="I20" s="7">
        <f>92.2/I33*100</f>
        <v>1.8403928300530958</v>
      </c>
      <c r="J20" s="7">
        <f>77.3/J33*100</f>
        <v>1.5526765089886512</v>
      </c>
      <c r="K20" s="8">
        <f>62.9/K33*100</f>
        <v>1.3110175497102838</v>
      </c>
    </row>
    <row r="21" spans="1:11">
      <c r="A21" s="3" t="s">
        <v>32</v>
      </c>
      <c r="B21" s="13">
        <f>34.3/B33*100</f>
        <v>1.5662100456621002</v>
      </c>
      <c r="C21" s="13">
        <f>43.8/C33*100</f>
        <v>1.4974358974358974</v>
      </c>
      <c r="D21" s="13">
        <f>67.2/D33*100</f>
        <v>2.4086021505376345</v>
      </c>
      <c r="E21" s="7">
        <f>78.9/E33*100</f>
        <v>2.3836858006042299</v>
      </c>
      <c r="F21" s="7"/>
      <c r="G21" s="7"/>
      <c r="H21" s="7"/>
      <c r="I21" s="7"/>
      <c r="J21" s="7"/>
      <c r="K21" s="8"/>
    </row>
    <row r="22" spans="1:11">
      <c r="A22" s="3" t="s">
        <v>33</v>
      </c>
      <c r="B22" s="9">
        <f>16.8/B33*100</f>
        <v>0.76712328767123295</v>
      </c>
      <c r="C22" s="9"/>
      <c r="D22" s="9"/>
      <c r="E22" s="7"/>
      <c r="F22" s="7"/>
      <c r="G22" s="7"/>
      <c r="H22" s="7"/>
      <c r="I22" s="7"/>
      <c r="J22" s="7"/>
      <c r="K22" s="8"/>
    </row>
    <row r="23" spans="1:11">
      <c r="A23" s="3" t="s">
        <v>34</v>
      </c>
      <c r="B23" s="9">
        <f>17.9/B33*100</f>
        <v>0.81735159817351599</v>
      </c>
      <c r="C23" s="9">
        <f>24/C33*100</f>
        <v>0.82051282051282048</v>
      </c>
      <c r="D23" s="8">
        <f>21.6/D33*100</f>
        <v>0.77419354838709686</v>
      </c>
      <c r="E23" s="7"/>
      <c r="F23" s="7"/>
      <c r="G23" s="7"/>
      <c r="H23" s="7"/>
      <c r="I23" s="7"/>
      <c r="J23" s="7"/>
      <c r="K23" s="8"/>
    </row>
    <row r="24" spans="1:11">
      <c r="A24" s="3" t="s">
        <v>35</v>
      </c>
      <c r="B24" s="9">
        <f>44.7/B33*100</f>
        <v>2.0410958904109591</v>
      </c>
      <c r="C24" s="9">
        <f>63.9/C33*100</f>
        <v>2.1846153846153844</v>
      </c>
      <c r="D24" s="9">
        <f>57.6/D33*100</f>
        <v>2.064516129032258</v>
      </c>
      <c r="E24" s="7"/>
      <c r="F24" s="7"/>
      <c r="G24" s="7"/>
      <c r="H24" s="7"/>
      <c r="I24" s="7"/>
      <c r="J24" s="7"/>
      <c r="K24" s="8"/>
    </row>
    <row r="25" spans="1:11">
      <c r="A25" s="3" t="s">
        <v>36</v>
      </c>
      <c r="B25" s="9">
        <f>70.1/B33*100</f>
        <v>3.2009132420091317</v>
      </c>
      <c r="C25" s="9"/>
      <c r="D25" s="9"/>
      <c r="E25" s="7"/>
      <c r="F25" s="7"/>
      <c r="G25" s="7"/>
      <c r="H25" s="7"/>
      <c r="I25" s="7"/>
      <c r="J25" s="7"/>
      <c r="K25" s="8"/>
    </row>
    <row r="26" spans="1:11">
      <c r="A26" s="3" t="s">
        <v>37</v>
      </c>
      <c r="B26" s="9">
        <f>34.8/B33*100</f>
        <v>1.5890410958904109</v>
      </c>
      <c r="C26" s="9">
        <f>27.9/C33*100</f>
        <v>0.95384615384615379</v>
      </c>
      <c r="D26" s="9">
        <f>54.4/D33*100</f>
        <v>1.9498207885304659</v>
      </c>
      <c r="E26" s="7">
        <f>56.9/E33*100</f>
        <v>1.7190332326283988</v>
      </c>
      <c r="F26" s="7">
        <f>102.8/F33*100</f>
        <v>2.2019449085378913</v>
      </c>
      <c r="G26" s="7">
        <f>133.9/G33*100</f>
        <v>2.6599654343550729</v>
      </c>
      <c r="H26" s="7">
        <f>181/H33*100</f>
        <v>3.3015340276891085</v>
      </c>
      <c r="I26" s="7">
        <f>169/I33*100</f>
        <v>3.3733881592079524</v>
      </c>
      <c r="J26" s="11">
        <f>176.6/J33*100</f>
        <v>3.5472531887114593</v>
      </c>
      <c r="K26" s="10">
        <f>162.8/K33*100</f>
        <v>3.3932218933677936</v>
      </c>
    </row>
    <row r="27" spans="1:11">
      <c r="A27" s="3" t="s">
        <v>38</v>
      </c>
      <c r="B27" s="9"/>
      <c r="C27" s="9"/>
      <c r="D27" s="9"/>
      <c r="E27" s="7"/>
      <c r="F27" s="7">
        <f>11.6/F33*100</f>
        <v>0.2484684916248982</v>
      </c>
      <c r="G27" s="7"/>
      <c r="H27" s="7"/>
      <c r="I27" s="7"/>
      <c r="J27" s="7"/>
      <c r="K27" s="8"/>
    </row>
    <row r="28" spans="1:11">
      <c r="A28" s="3" t="s">
        <v>39</v>
      </c>
      <c r="B28" s="9"/>
      <c r="C28" s="9"/>
      <c r="D28" s="9"/>
      <c r="E28" s="7">
        <f>38.6/E33*100</f>
        <v>1.1661631419939578</v>
      </c>
      <c r="F28" s="7"/>
      <c r="G28" s="7"/>
      <c r="H28" s="7"/>
      <c r="I28" s="7"/>
      <c r="J28" s="7"/>
      <c r="K28" s="8"/>
    </row>
    <row r="29" spans="1:11">
      <c r="A29" s="3" t="s">
        <v>40</v>
      </c>
      <c r="B29" s="9">
        <f>5.6/B33*100</f>
        <v>0.25570776255707761</v>
      </c>
      <c r="C29" s="9"/>
      <c r="D29" s="9"/>
      <c r="E29" s="7"/>
      <c r="F29" s="7"/>
      <c r="G29" s="7"/>
      <c r="H29" s="7"/>
      <c r="I29" s="7"/>
      <c r="J29" s="7"/>
      <c r="K29" s="8"/>
    </row>
    <row r="30" spans="1:11" ht="13" customHeight="1">
      <c r="A30" s="3" t="s">
        <v>41</v>
      </c>
      <c r="B30" s="9">
        <f>471.2/B33*100</f>
        <v>21.515981735159816</v>
      </c>
      <c r="C30" s="9">
        <f>603.4/C33*100</f>
        <v>20.62905982905983</v>
      </c>
      <c r="D30" s="9">
        <f>500.5/D33*100</f>
        <v>17.939068100358423</v>
      </c>
      <c r="E30" s="9">
        <f>145.3/E33*100</f>
        <v>4.3897280966767376</v>
      </c>
      <c r="F30" s="9">
        <f>631.7/F33*100</f>
        <v>13.530822944780018</v>
      </c>
      <c r="G30" s="9">
        <f>50.5/G33*100</f>
        <v>1.0031983154214428</v>
      </c>
      <c r="H30" s="9">
        <f>119/H33*100</f>
        <v>2.1706218193094138</v>
      </c>
      <c r="I30" s="9">
        <f>238.7/I33*100</f>
        <v>4.7646612639227115</v>
      </c>
      <c r="J30" s="9">
        <f>220.6/J33*100</f>
        <v>4.4310535301797733</v>
      </c>
      <c r="K30" s="8">
        <f>635.1/K33*100</f>
        <v>13.237317103672517</v>
      </c>
    </row>
    <row r="31" spans="1:11">
      <c r="A31" s="3" t="s">
        <v>42</v>
      </c>
      <c r="B31" s="7">
        <v>5.19</v>
      </c>
      <c r="C31" s="7">
        <v>5.17</v>
      </c>
      <c r="D31" s="7">
        <v>5.6</v>
      </c>
      <c r="E31" s="7">
        <v>5.19</v>
      </c>
      <c r="F31" s="7">
        <v>5.17</v>
      </c>
      <c r="G31" s="7">
        <v>4.91</v>
      </c>
      <c r="H31" s="14">
        <v>4.3</v>
      </c>
      <c r="I31" s="14">
        <v>3.96</v>
      </c>
      <c r="J31" s="8"/>
      <c r="K31" s="14">
        <v>4.21</v>
      </c>
    </row>
    <row r="32" spans="1:11">
      <c r="A32" s="3" t="s">
        <v>43</v>
      </c>
      <c r="B32" s="7"/>
      <c r="C32" s="7">
        <v>108</v>
      </c>
      <c r="D32" s="7">
        <v>108</v>
      </c>
      <c r="E32" s="7">
        <v>105</v>
      </c>
      <c r="F32" s="7">
        <v>104</v>
      </c>
      <c r="G32" s="7">
        <v>100</v>
      </c>
      <c r="H32" s="14">
        <v>96</v>
      </c>
      <c r="I32" s="14">
        <v>94</v>
      </c>
      <c r="J32" s="8"/>
      <c r="K32" s="8">
        <v>95</v>
      </c>
    </row>
    <row r="33" spans="1:11">
      <c r="A33" s="3" t="s">
        <v>44</v>
      </c>
      <c r="B33" s="9">
        <v>2190</v>
      </c>
      <c r="C33" s="9">
        <v>2925</v>
      </c>
      <c r="D33" s="9">
        <v>2790</v>
      </c>
      <c r="E33" s="15">
        <v>3310</v>
      </c>
      <c r="F33" s="15">
        <v>4668.6000000000004</v>
      </c>
      <c r="G33" s="15">
        <v>5033.8999999999996</v>
      </c>
      <c r="H33" s="15">
        <v>5482.3</v>
      </c>
      <c r="I33" s="15">
        <v>5009.8</v>
      </c>
      <c r="J33" s="11">
        <v>4978.5</v>
      </c>
      <c r="K33" s="10">
        <v>4797.8</v>
      </c>
    </row>
    <row r="34" spans="1:11">
      <c r="A34" s="3" t="s">
        <v>45</v>
      </c>
      <c r="B34" s="9">
        <f>SUM(B6+B12+B10+B9)</f>
        <v>61.438356164383563</v>
      </c>
      <c r="C34" s="9">
        <f>SUM(C6+C12+C9+C10)</f>
        <v>63.644444444444446</v>
      </c>
      <c r="D34" s="9">
        <f>SUM(D6+D12+D9+D10)</f>
        <v>61.835125448028677</v>
      </c>
      <c r="E34" s="7">
        <f>SUM(E5+E6+E10+E9)</f>
        <v>65.0785498489426</v>
      </c>
      <c r="F34" s="7">
        <f>SUM(F5+F7+F10+F12)</f>
        <v>68.183181253480683</v>
      </c>
      <c r="G34" s="7">
        <f>SUM(G4+G7+G10+G14)</f>
        <v>69.852400723097404</v>
      </c>
      <c r="H34" s="7">
        <f>SUM(H4+H7+H10+H11)</f>
        <v>75.074330116921729</v>
      </c>
      <c r="I34" s="7">
        <f>SUM(I3+I7+I10+I11)</f>
        <v>72.451994091580502</v>
      </c>
      <c r="J34" s="11">
        <f>SUM(J3+J7+J10+J11)</f>
        <v>73.405644270362558</v>
      </c>
      <c r="K34" s="10">
        <f>SUM(K3+K7+K10+K11)</f>
        <v>69.1275167785235</v>
      </c>
    </row>
    <row r="35" spans="1:11">
      <c r="A35" s="3" t="s">
        <v>46</v>
      </c>
      <c r="B35" s="9">
        <f>SUMSQ(B6,B9,B10,B11,B12,B16,B21,B22,B24,B23,B25,B26,B29)</f>
        <v>1165.7317612226602</v>
      </c>
      <c r="C35" s="9">
        <f>SUMSQ(C5,C6,C9,C10,C11,C12,C16,C21,C23,C24,C26)</f>
        <v>1212.5114179268023</v>
      </c>
      <c r="D35" s="9">
        <f>SUMSQ(D5,D6,D9,D10,D11,D12,D16,D21,D23,D24,D26)</f>
        <v>1162.4349892730049</v>
      </c>
      <c r="E35" s="7">
        <f>SUMSQ(E5,E6,E7,E9,E10,E11,E12,E16,E21,E26,E28)</f>
        <v>1428.7040735298142</v>
      </c>
      <c r="F35" s="7">
        <f>SUMSQ(F5,F7,F10,F11,F12,F16,F18,F19,F20,F26,F27)</f>
        <v>1359.4083818790039</v>
      </c>
      <c r="G35" s="7">
        <f>SUMSQ(G4,G7,G8,G10,G11,G14,G15,G16,G18,G19,G20,G26)</f>
        <v>1527.0922392488944</v>
      </c>
      <c r="H35" s="7">
        <f>SUMSQ(H4,H7,H10,H11,H13,H15,H16,H17,H19,H20,H26)</f>
        <v>1627.8727679890239</v>
      </c>
      <c r="I35" s="7">
        <f>SUMSQ(I3,I7,I10,I11,I13,I15,I16,I17,I19,I20,I26)</f>
        <v>1516.582825220554</v>
      </c>
      <c r="J35" s="11">
        <f>SUMSQ(J3,J7,J10,J11,J12,J15,J16,J17,J19,J20,J26)</f>
        <v>1542.1897205084404</v>
      </c>
      <c r="K35" s="10">
        <f>SUMSQ(K3,K7,K10,K11,K12,K15,K16,K17,K19,K20,K26)</f>
        <v>1397.8535938494233</v>
      </c>
    </row>
    <row r="36" spans="1:11">
      <c r="A36" s="3"/>
      <c r="B36" s="3"/>
      <c r="C36" s="3"/>
      <c r="D36" s="3"/>
      <c r="E36" s="16"/>
      <c r="F36" s="16"/>
      <c r="G36" s="16"/>
      <c r="H36" s="16"/>
      <c r="I36" s="16"/>
      <c r="J36" s="16"/>
    </row>
    <row r="37" spans="1:11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1">
      <c r="A38" s="17" t="s">
        <v>47</v>
      </c>
      <c r="B38" s="17"/>
      <c r="C38" s="17"/>
      <c r="D38" s="17"/>
      <c r="E38" s="17"/>
      <c r="F38" s="17"/>
      <c r="G38" s="17"/>
      <c r="H38" s="17"/>
      <c r="I38" s="17"/>
      <c r="J38" s="17"/>
    </row>
    <row r="39" spans="1:11">
      <c r="A39" s="18"/>
      <c r="B39" s="19"/>
      <c r="C39" s="19"/>
      <c r="D39" s="19"/>
      <c r="E39" s="19"/>
      <c r="F39" s="19"/>
      <c r="G39" s="19"/>
      <c r="H39" s="19"/>
      <c r="I39" s="19"/>
      <c r="J39" s="19"/>
    </row>
    <row r="40" spans="1:11">
      <c r="A40" s="18"/>
      <c r="B40" s="20"/>
      <c r="C40" s="20"/>
      <c r="D40" s="20"/>
      <c r="E40" s="20"/>
      <c r="F40" s="20"/>
      <c r="G40" s="20"/>
      <c r="H40" s="20"/>
      <c r="I40" s="20"/>
      <c r="J40" s="20"/>
    </row>
    <row r="41" spans="1:11">
      <c r="A41" s="18"/>
      <c r="B41" s="20"/>
      <c r="C41" s="20"/>
      <c r="D41" s="20"/>
      <c r="E41" s="20"/>
      <c r="F41" s="20"/>
      <c r="G41" s="20"/>
      <c r="H41" s="20"/>
      <c r="I41" s="20"/>
      <c r="J41" s="20"/>
    </row>
    <row r="42" spans="1:11">
      <c r="A42" s="18"/>
      <c r="B42" s="20"/>
      <c r="C42" s="20"/>
      <c r="D42" s="20"/>
      <c r="E42" s="20"/>
      <c r="F42" s="20"/>
      <c r="G42" s="20"/>
      <c r="H42" s="20"/>
      <c r="I42" s="20"/>
      <c r="J42" s="20"/>
    </row>
    <row r="43" spans="1:11">
      <c r="A43" s="18"/>
      <c r="B43" s="20"/>
      <c r="C43" s="20"/>
      <c r="D43" s="20"/>
      <c r="E43" s="20"/>
      <c r="F43" s="20"/>
      <c r="G43" s="20"/>
      <c r="H43" s="20"/>
      <c r="I43" s="20"/>
      <c r="J43" s="20"/>
    </row>
    <row r="44" spans="1:11">
      <c r="A44" s="18"/>
      <c r="B44" s="20"/>
      <c r="C44" s="20"/>
      <c r="D44" s="20"/>
      <c r="E44" s="20"/>
      <c r="F44" s="20"/>
      <c r="G44" s="20"/>
      <c r="H44" s="20"/>
      <c r="I44" s="20"/>
      <c r="J44" s="20"/>
    </row>
    <row r="45" spans="1:11">
      <c r="A45" s="18"/>
      <c r="B45" s="20"/>
      <c r="C45" s="20"/>
      <c r="D45" s="20"/>
      <c r="E45" s="20"/>
      <c r="F45" s="20"/>
      <c r="G45" s="20"/>
      <c r="H45" s="20"/>
      <c r="I45" s="20"/>
      <c r="J45" s="20"/>
    </row>
    <row r="46" spans="1:11">
      <c r="A46" s="18"/>
      <c r="B46" s="20"/>
      <c r="C46" s="20"/>
      <c r="D46" s="20"/>
      <c r="E46" s="20"/>
      <c r="F46" s="20"/>
      <c r="G46" s="20"/>
      <c r="H46" s="20"/>
      <c r="I46" s="20"/>
      <c r="J46" s="20"/>
    </row>
    <row r="47" spans="1:11">
      <c r="A47" s="18"/>
      <c r="B47" s="20"/>
      <c r="C47" s="20"/>
      <c r="D47" s="20"/>
      <c r="E47" s="20"/>
      <c r="F47" s="20"/>
      <c r="G47" s="20"/>
      <c r="H47" s="20"/>
      <c r="I47" s="20"/>
      <c r="J47" s="20"/>
    </row>
    <row r="48" spans="1:11">
      <c r="A48" s="18"/>
      <c r="B48" s="20"/>
      <c r="C48" s="20"/>
      <c r="D48" s="20"/>
      <c r="E48" s="20"/>
      <c r="F48" s="20"/>
      <c r="G48" s="20"/>
      <c r="H48" s="20"/>
      <c r="I48" s="20"/>
      <c r="J48" s="20"/>
    </row>
    <row r="49" spans="1:10">
      <c r="A49" s="18"/>
      <c r="B49" s="20"/>
      <c r="C49" s="20"/>
      <c r="D49" s="20"/>
      <c r="E49" s="20"/>
      <c r="F49" s="20"/>
      <c r="G49" s="20"/>
      <c r="H49" s="20"/>
      <c r="I49" s="20"/>
      <c r="J49" s="20"/>
    </row>
    <row r="50" spans="1:10">
      <c r="A50" s="18"/>
      <c r="B50" s="20"/>
      <c r="C50" s="20"/>
      <c r="D50" s="20"/>
      <c r="E50" s="20"/>
      <c r="F50" s="20"/>
      <c r="G50" s="20"/>
      <c r="H50" s="20"/>
      <c r="I50" s="20"/>
      <c r="J50" s="20"/>
    </row>
    <row r="51" spans="1:10">
      <c r="A51" s="18"/>
      <c r="B51" s="20"/>
      <c r="C51" s="20"/>
      <c r="D51" s="20"/>
      <c r="E51" s="20"/>
      <c r="F51" s="20"/>
      <c r="G51" s="20"/>
      <c r="H51" s="20"/>
      <c r="I51" s="20"/>
      <c r="J51" s="20"/>
    </row>
    <row r="52" spans="1:10">
      <c r="A52" s="18"/>
      <c r="B52" s="20"/>
      <c r="C52" s="20"/>
      <c r="D52" s="20"/>
      <c r="E52" s="20"/>
      <c r="F52" s="20"/>
      <c r="G52" s="20"/>
      <c r="H52" s="20"/>
      <c r="I52" s="20"/>
      <c r="J52" s="20"/>
    </row>
    <row r="53" spans="1:10">
      <c r="A53" s="18"/>
      <c r="B53" s="20"/>
      <c r="C53" s="20"/>
      <c r="D53" s="20"/>
      <c r="E53" s="20"/>
      <c r="F53" s="20"/>
      <c r="G53" s="20"/>
      <c r="H53" s="20"/>
      <c r="I53" s="20"/>
      <c r="J53" s="21"/>
    </row>
    <row r="54" spans="1:10">
      <c r="A54" s="18"/>
      <c r="B54" s="20"/>
      <c r="C54" s="20"/>
      <c r="D54" s="20"/>
      <c r="E54" s="20"/>
      <c r="F54" s="20"/>
      <c r="G54" s="20"/>
      <c r="H54" s="20"/>
      <c r="I54" s="20"/>
      <c r="J54" s="21"/>
    </row>
    <row r="55" spans="1:10">
      <c r="A55" s="18"/>
      <c r="B55" s="20"/>
      <c r="C55" s="20"/>
      <c r="D55" s="20"/>
      <c r="E55" s="20"/>
      <c r="F55" s="20"/>
      <c r="G55" s="20"/>
      <c r="H55" s="20"/>
      <c r="I55" s="20"/>
      <c r="J55" s="21"/>
    </row>
    <row r="56" spans="1:10">
      <c r="A56" s="18"/>
      <c r="B56" s="20"/>
      <c r="C56" s="20"/>
      <c r="D56" s="20"/>
      <c r="E56" s="20"/>
      <c r="F56" s="20"/>
      <c r="G56" s="20"/>
      <c r="H56" s="20"/>
      <c r="I56" s="20"/>
      <c r="J56" s="20"/>
    </row>
    <row r="57" spans="1:10">
      <c r="A57" s="18"/>
      <c r="B57" s="20"/>
      <c r="C57" s="20"/>
      <c r="D57" s="20"/>
      <c r="E57" s="20"/>
      <c r="F57" s="20"/>
      <c r="G57" s="20"/>
      <c r="H57" s="20"/>
      <c r="I57" s="20"/>
      <c r="J57" s="20"/>
    </row>
    <row r="58" spans="1:10">
      <c r="A58" s="18"/>
      <c r="B58" s="20"/>
      <c r="C58" s="20"/>
      <c r="D58" s="20"/>
      <c r="E58" s="20"/>
      <c r="F58" s="20"/>
      <c r="G58" s="20"/>
      <c r="H58" s="20"/>
      <c r="I58" s="20"/>
      <c r="J58" s="20"/>
    </row>
    <row r="59" spans="1:10">
      <c r="A59" s="18"/>
      <c r="B59" s="20"/>
      <c r="C59" s="20"/>
      <c r="D59" s="20"/>
      <c r="E59" s="20"/>
      <c r="F59" s="20"/>
      <c r="G59" s="20"/>
      <c r="H59" s="20"/>
      <c r="I59" s="20"/>
      <c r="J59" s="20"/>
    </row>
    <row r="60" spans="1:10">
      <c r="A60" s="18"/>
      <c r="B60" s="20"/>
      <c r="C60" s="20"/>
      <c r="D60" s="20"/>
      <c r="E60" s="20"/>
      <c r="F60" s="20"/>
      <c r="G60" s="20"/>
      <c r="H60" s="20"/>
      <c r="I60" s="20"/>
      <c r="J60" s="20"/>
    </row>
    <row r="61" spans="1:10">
      <c r="A61" s="18"/>
      <c r="B61" s="20"/>
      <c r="C61" s="20"/>
      <c r="D61" s="20"/>
      <c r="E61" s="20"/>
      <c r="F61" s="20"/>
      <c r="G61" s="20"/>
      <c r="H61" s="20"/>
      <c r="I61" s="20"/>
      <c r="J61" s="20"/>
    </row>
    <row r="62" spans="1:10">
      <c r="A62" s="18"/>
      <c r="B62" s="20"/>
      <c r="C62" s="20"/>
      <c r="D62" s="20"/>
      <c r="E62" s="20"/>
      <c r="F62" s="20"/>
      <c r="G62" s="20"/>
      <c r="H62" s="20"/>
      <c r="I62" s="20"/>
      <c r="J62" s="20"/>
    </row>
    <row r="63" spans="1:10">
      <c r="A63" s="18"/>
      <c r="B63" s="20"/>
      <c r="C63" s="20"/>
      <c r="D63" s="20"/>
      <c r="E63" s="20"/>
      <c r="F63" s="20"/>
      <c r="G63" s="20"/>
      <c r="H63" s="20"/>
      <c r="I63" s="20"/>
      <c r="J63" s="20"/>
    </row>
    <row r="64" spans="1:10">
      <c r="A64" s="18"/>
      <c r="B64" s="20"/>
      <c r="C64" s="20"/>
      <c r="D64" s="20"/>
      <c r="E64" s="20"/>
      <c r="F64" s="20"/>
      <c r="G64" s="20"/>
      <c r="H64" s="20"/>
      <c r="I64" s="20"/>
      <c r="J64" s="20"/>
    </row>
    <row r="65" spans="1:10">
      <c r="A65" s="18"/>
      <c r="B65" s="20"/>
      <c r="C65" s="20"/>
      <c r="D65" s="20"/>
      <c r="E65" s="20"/>
      <c r="F65" s="20"/>
      <c r="G65" s="20"/>
      <c r="H65" s="20"/>
      <c r="I65" s="20"/>
      <c r="J65" s="20"/>
    </row>
    <row r="66" spans="1:10">
      <c r="A66" s="18"/>
      <c r="B66" s="22"/>
      <c r="C66" s="22"/>
      <c r="D66" s="22"/>
      <c r="E66" s="22"/>
      <c r="F66" s="22"/>
      <c r="G66" s="22"/>
      <c r="H66" s="22"/>
      <c r="I66" s="22"/>
      <c r="J66" s="22"/>
    </row>
    <row r="67" spans="1:10">
      <c r="A67" s="18"/>
      <c r="B67" s="20"/>
      <c r="C67" s="20"/>
      <c r="D67" s="20"/>
      <c r="E67" s="20"/>
      <c r="F67" s="20"/>
      <c r="G67" s="20"/>
      <c r="H67" s="20"/>
      <c r="I67" s="20"/>
      <c r="J67" s="20"/>
    </row>
    <row r="68" spans="1:10">
      <c r="A68" s="18"/>
      <c r="B68" s="20"/>
      <c r="C68" s="20"/>
      <c r="D68" s="20"/>
      <c r="E68" s="20"/>
      <c r="F68" s="20"/>
      <c r="G68" s="20"/>
      <c r="H68" s="20"/>
      <c r="I68" s="20"/>
      <c r="J68" s="20"/>
    </row>
    <row r="69" spans="1:10">
      <c r="A69" s="18"/>
      <c r="B69" s="20"/>
      <c r="C69" s="20"/>
      <c r="D69" s="20"/>
      <c r="E69" s="20"/>
      <c r="F69" s="20"/>
      <c r="G69" s="20"/>
      <c r="H69" s="20"/>
      <c r="I69" s="20"/>
      <c r="J69" s="20"/>
    </row>
  </sheetData>
  <phoneticPr fontId="2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46"/>
  <sheetViews>
    <sheetView tabSelected="1" workbookViewId="0">
      <selection activeCell="L23" sqref="L23"/>
    </sheetView>
  </sheetViews>
  <sheetFormatPr baseColWidth="10" defaultColWidth="11" defaultRowHeight="15"/>
  <cols>
    <col min="1" max="1" width="30.1640625" style="23" customWidth="1"/>
    <col min="2" max="2" width="9.1640625" style="23" customWidth="1"/>
    <col min="3" max="3" width="10.1640625" style="23" customWidth="1"/>
    <col min="4" max="4" width="9.33203125" style="23" customWidth="1"/>
    <col min="5" max="5" width="11" style="23"/>
    <col min="6" max="6" width="16.33203125" style="23" customWidth="1"/>
    <col min="7" max="7" width="11.83203125" style="23" customWidth="1"/>
    <col min="8" max="9" width="12.6640625" style="23" customWidth="1"/>
    <col min="10" max="10" width="13.6640625" style="23" customWidth="1"/>
    <col min="11" max="11" width="11.1640625" customWidth="1"/>
  </cols>
  <sheetData>
    <row r="1" spans="1:13">
      <c r="A1" s="58" t="s">
        <v>10</v>
      </c>
      <c r="B1" s="58"/>
      <c r="C1" s="58"/>
      <c r="D1" s="58"/>
      <c r="E1" s="47"/>
      <c r="F1" s="47"/>
      <c r="G1" s="47"/>
      <c r="H1" s="47"/>
      <c r="I1" s="47"/>
      <c r="J1" s="47"/>
      <c r="K1" s="24"/>
    </row>
    <row r="2" spans="1:13">
      <c r="A2" s="30"/>
      <c r="B2" s="30">
        <v>1984</v>
      </c>
      <c r="C2" s="30">
        <v>1988</v>
      </c>
      <c r="D2" s="30">
        <v>1992</v>
      </c>
      <c r="E2" s="5">
        <v>1996</v>
      </c>
      <c r="F2" s="5">
        <v>2000</v>
      </c>
      <c r="G2" s="5">
        <v>2004</v>
      </c>
      <c r="H2" s="5">
        <v>2008</v>
      </c>
      <c r="I2" s="5">
        <v>2010</v>
      </c>
      <c r="J2" s="5">
        <v>2011</v>
      </c>
      <c r="K2" s="5">
        <v>2012</v>
      </c>
    </row>
    <row r="3" spans="1:13">
      <c r="A3" s="30" t="s">
        <v>12</v>
      </c>
      <c r="B3" s="30"/>
      <c r="C3" s="30"/>
      <c r="D3" s="30"/>
      <c r="E3" s="5"/>
      <c r="F3" s="5"/>
      <c r="G3" s="5"/>
      <c r="H3" s="5"/>
      <c r="I3" s="5">
        <v>1052.5</v>
      </c>
      <c r="J3" s="25">
        <v>1019.1</v>
      </c>
      <c r="K3" s="24">
        <v>831.9</v>
      </c>
    </row>
    <row r="4" spans="1:13">
      <c r="A4" s="30" t="s">
        <v>13</v>
      </c>
      <c r="B4" s="30"/>
      <c r="C4" s="30"/>
      <c r="D4" s="30"/>
      <c r="E4" s="5"/>
      <c r="F4" s="57"/>
      <c r="G4" s="57">
        <v>1193.5999999999999</v>
      </c>
      <c r="H4" s="56">
        <v>1298.0999999999999</v>
      </c>
      <c r="I4" s="5" t="s">
        <v>12</v>
      </c>
      <c r="J4" s="5"/>
      <c r="K4" s="24"/>
      <c r="M4" s="55"/>
    </row>
    <row r="5" spans="1:13">
      <c r="A5" s="30" t="s">
        <v>14</v>
      </c>
      <c r="B5" s="30"/>
      <c r="C5" s="38">
        <v>119.93</v>
      </c>
      <c r="D5" s="38">
        <v>170</v>
      </c>
      <c r="E5" s="54">
        <v>401</v>
      </c>
      <c r="F5" s="25">
        <v>1065.2</v>
      </c>
      <c r="G5" s="5" t="s">
        <v>9</v>
      </c>
      <c r="H5" s="5"/>
      <c r="I5" s="5"/>
      <c r="J5" s="5"/>
      <c r="K5" s="24"/>
    </row>
    <row r="6" spans="1:13">
      <c r="A6" s="30" t="s">
        <v>15</v>
      </c>
      <c r="B6" s="38">
        <v>532.17000000000007</v>
      </c>
      <c r="C6" s="38">
        <v>710.77500000000009</v>
      </c>
      <c r="D6" s="38">
        <v>647.83800000000008</v>
      </c>
      <c r="E6" s="25">
        <v>873.64139999999998</v>
      </c>
      <c r="F6" s="5" t="s">
        <v>8</v>
      </c>
      <c r="G6" s="5"/>
      <c r="H6" s="5"/>
      <c r="I6" s="5"/>
      <c r="J6" s="5"/>
      <c r="K6" s="24"/>
    </row>
    <row r="7" spans="1:13" s="53" customFormat="1">
      <c r="A7" s="30" t="s">
        <v>16</v>
      </c>
      <c r="B7" s="30"/>
      <c r="C7" s="30"/>
      <c r="D7" s="30"/>
      <c r="E7" s="25">
        <v>284.66000000000003</v>
      </c>
      <c r="F7" s="5">
        <v>850.1</v>
      </c>
      <c r="G7" s="5">
        <v>881.1</v>
      </c>
      <c r="H7" s="5">
        <v>1181.4000000000001</v>
      </c>
      <c r="I7" s="5">
        <v>1034.8</v>
      </c>
      <c r="J7" s="25">
        <v>1018.4</v>
      </c>
      <c r="K7" s="24">
        <v>960</v>
      </c>
    </row>
    <row r="8" spans="1:13">
      <c r="A8" s="30" t="s">
        <v>17</v>
      </c>
      <c r="B8" s="30"/>
      <c r="C8" s="30"/>
      <c r="D8" s="30"/>
      <c r="E8" s="5"/>
      <c r="F8" s="5"/>
      <c r="G8" s="5">
        <v>296.95</v>
      </c>
      <c r="H8" s="5" t="s">
        <v>7</v>
      </c>
      <c r="I8" s="5"/>
      <c r="J8" s="25"/>
      <c r="K8" s="24"/>
    </row>
    <row r="9" spans="1:13">
      <c r="A9" s="30" t="s">
        <v>18</v>
      </c>
      <c r="B9" s="38">
        <v>192.72</v>
      </c>
      <c r="C9" s="38">
        <v>321.75</v>
      </c>
      <c r="D9" s="38">
        <v>309.69</v>
      </c>
      <c r="E9" s="25">
        <v>370.72</v>
      </c>
      <c r="F9" s="5" t="s">
        <v>6</v>
      </c>
      <c r="G9" s="5"/>
      <c r="H9" s="5"/>
      <c r="I9" s="5"/>
      <c r="J9" s="25"/>
      <c r="K9" s="24"/>
    </row>
    <row r="10" spans="1:13">
      <c r="A10" s="30" t="s">
        <v>19</v>
      </c>
      <c r="B10" s="38">
        <v>214.62</v>
      </c>
      <c r="C10" s="38">
        <v>286.64999999999998</v>
      </c>
      <c r="D10" s="38">
        <v>273.42</v>
      </c>
      <c r="E10" s="25">
        <v>508.8</v>
      </c>
      <c r="F10" s="5">
        <v>843.1</v>
      </c>
      <c r="G10" s="5">
        <v>1003.5</v>
      </c>
      <c r="H10" s="5">
        <v>1060.8</v>
      </c>
      <c r="I10" s="5">
        <v>1011.4</v>
      </c>
      <c r="J10" s="5">
        <v>1089.3</v>
      </c>
      <c r="K10" s="5">
        <v>1059.3</v>
      </c>
    </row>
    <row r="11" spans="1:13">
      <c r="A11" s="30" t="s">
        <v>20</v>
      </c>
      <c r="B11" s="38">
        <v>129.21</v>
      </c>
      <c r="C11" s="38">
        <v>172.57499999999999</v>
      </c>
      <c r="D11" s="38">
        <v>164.60999999999999</v>
      </c>
      <c r="E11" s="25">
        <v>188.67000000000002</v>
      </c>
      <c r="F11" s="25">
        <v>406.16820000000001</v>
      </c>
      <c r="G11" s="52">
        <v>493.32220000000001</v>
      </c>
      <c r="H11" s="52">
        <v>575.64149999999995</v>
      </c>
      <c r="I11" s="52">
        <v>531.03880000000004</v>
      </c>
      <c r="J11" s="51">
        <v>527.72373002999996</v>
      </c>
      <c r="K11" s="51">
        <v>465.38844348500004</v>
      </c>
    </row>
    <row r="12" spans="1:13">
      <c r="A12" s="30" t="s">
        <v>21</v>
      </c>
      <c r="B12" s="38">
        <v>406.02599999999995</v>
      </c>
      <c r="C12" s="38">
        <v>542.29499999999996</v>
      </c>
      <c r="D12" s="38">
        <v>494.27639999999997</v>
      </c>
      <c r="E12" s="25">
        <v>337.91789999999997</v>
      </c>
      <c r="F12" s="25">
        <v>424.8</v>
      </c>
      <c r="G12" s="5"/>
      <c r="H12" s="5"/>
      <c r="I12" s="5"/>
      <c r="J12" s="28">
        <v>368.75994809688558</v>
      </c>
      <c r="K12" s="29">
        <v>350.42988505747127</v>
      </c>
    </row>
    <row r="13" spans="1:13">
      <c r="A13" s="30" t="s">
        <v>22</v>
      </c>
      <c r="B13" s="30"/>
      <c r="C13" s="30"/>
      <c r="D13" s="30"/>
      <c r="E13" s="5"/>
      <c r="F13" s="5"/>
      <c r="G13" s="5"/>
      <c r="H13" s="25">
        <v>411.17250000000001</v>
      </c>
      <c r="I13" s="50">
        <v>400.78400000000005</v>
      </c>
      <c r="J13" s="25" t="s">
        <v>23</v>
      </c>
      <c r="K13" s="26"/>
    </row>
    <row r="14" spans="1:13">
      <c r="A14" s="30" t="s">
        <v>24</v>
      </c>
      <c r="B14" s="30"/>
      <c r="C14" s="30"/>
      <c r="D14" s="30"/>
      <c r="E14" s="5"/>
      <c r="F14" s="5"/>
      <c r="G14" s="5">
        <v>438.1</v>
      </c>
      <c r="H14" s="5" t="s">
        <v>25</v>
      </c>
      <c r="I14" s="5"/>
      <c r="J14" s="25"/>
      <c r="K14" s="24"/>
    </row>
    <row r="15" spans="1:13">
      <c r="A15" s="30" t="s">
        <v>26</v>
      </c>
      <c r="B15" s="30"/>
      <c r="C15" s="30"/>
      <c r="D15" s="30"/>
      <c r="E15" s="5"/>
      <c r="F15" s="5"/>
      <c r="G15" s="8">
        <v>156.05089999999998</v>
      </c>
      <c r="H15" s="8">
        <v>191.88050000000001</v>
      </c>
      <c r="I15" s="8">
        <v>195.38220000000001</v>
      </c>
      <c r="J15" s="10">
        <v>154.334298405</v>
      </c>
      <c r="K15" s="10">
        <v>148.73238915500002</v>
      </c>
    </row>
    <row r="16" spans="1:13">
      <c r="A16" s="30" t="s">
        <v>27</v>
      </c>
      <c r="B16" s="49">
        <v>34.820999999999998</v>
      </c>
      <c r="C16" s="49">
        <v>27.904499999999999</v>
      </c>
      <c r="D16" s="49">
        <v>54.378</v>
      </c>
      <c r="E16" s="25">
        <v>56.921999999999997</v>
      </c>
      <c r="F16" s="25">
        <v>75.259999999999991</v>
      </c>
      <c r="G16" s="48">
        <v>223.15056721240256</v>
      </c>
      <c r="H16" s="25">
        <v>224.49693617280721</v>
      </c>
      <c r="I16" s="25">
        <v>204.19883783737021</v>
      </c>
      <c r="J16" s="28">
        <v>202.92305364951645</v>
      </c>
      <c r="K16" s="29">
        <v>195.55774365765794</v>
      </c>
    </row>
    <row r="17" spans="1:15">
      <c r="A17" s="30" t="s">
        <v>28</v>
      </c>
      <c r="B17" s="30"/>
      <c r="C17" s="30"/>
      <c r="D17" s="30"/>
      <c r="E17" s="5"/>
      <c r="F17" s="47"/>
      <c r="G17" s="25"/>
      <c r="H17" s="25">
        <v>205.58710428266318</v>
      </c>
      <c r="I17" s="25">
        <v>179.42277908304496</v>
      </c>
      <c r="J17" s="28">
        <v>183.58584374526529</v>
      </c>
      <c r="K17" s="29">
        <v>211.07772839716316</v>
      </c>
    </row>
    <row r="18" spans="1:15">
      <c r="A18" s="30" t="s">
        <v>5</v>
      </c>
      <c r="B18" s="30"/>
      <c r="C18" s="30"/>
      <c r="D18" s="30"/>
      <c r="E18" s="5"/>
      <c r="F18" s="25">
        <v>124.90711731526392</v>
      </c>
      <c r="G18" s="25">
        <v>167.56268020474573</v>
      </c>
      <c r="H18" s="5" t="s">
        <v>4</v>
      </c>
      <c r="I18" s="5"/>
      <c r="J18" s="25"/>
      <c r="K18" s="24"/>
    </row>
    <row r="19" spans="1:15">
      <c r="A19" s="30" t="s">
        <v>30</v>
      </c>
      <c r="B19" s="30"/>
      <c r="C19" s="30"/>
      <c r="D19" s="30"/>
      <c r="E19" s="5"/>
      <c r="F19" s="25">
        <v>87.466645217753737</v>
      </c>
      <c r="G19" s="25">
        <v>97.651318817917172</v>
      </c>
      <c r="H19" s="25">
        <v>121.89590243568357</v>
      </c>
      <c r="I19" s="25">
        <v>114.47592596885808</v>
      </c>
      <c r="J19" s="25">
        <v>98.917724137931046</v>
      </c>
      <c r="K19" s="26">
        <v>84.584648275862079</v>
      </c>
    </row>
    <row r="20" spans="1:15">
      <c r="A20" s="30" t="s">
        <v>3</v>
      </c>
      <c r="B20" s="30"/>
      <c r="C20" s="30"/>
      <c r="D20" s="30"/>
      <c r="E20" s="47"/>
      <c r="F20" s="25">
        <v>98.634062799999995</v>
      </c>
      <c r="G20" s="25">
        <v>91.685166856355053</v>
      </c>
      <c r="H20" s="25">
        <v>97.098551562446232</v>
      </c>
      <c r="I20" s="25">
        <v>92.235808460207579</v>
      </c>
      <c r="J20" s="25">
        <v>77.253572413793108</v>
      </c>
      <c r="K20" s="26">
        <v>62.920496551724142</v>
      </c>
      <c r="O20" s="32"/>
    </row>
    <row r="21" spans="1:15">
      <c r="A21" s="30" t="s">
        <v>32</v>
      </c>
      <c r="B21" s="46">
        <v>34.273499999999999</v>
      </c>
      <c r="C21" s="46">
        <v>43.845749999999995</v>
      </c>
      <c r="D21" s="46">
        <v>67.167000000000002</v>
      </c>
      <c r="E21" s="25">
        <v>78.947799999999987</v>
      </c>
      <c r="F21" s="5" t="s">
        <v>2</v>
      </c>
      <c r="G21" s="5"/>
      <c r="H21" s="5"/>
      <c r="I21" s="5"/>
      <c r="J21" s="25"/>
      <c r="K21" s="24"/>
    </row>
    <row r="22" spans="1:15">
      <c r="A22" s="30" t="s">
        <v>33</v>
      </c>
      <c r="B22" s="38">
        <v>16.753499999999999</v>
      </c>
      <c r="C22" s="38" t="s">
        <v>1</v>
      </c>
      <c r="D22" s="38"/>
      <c r="E22" s="5"/>
      <c r="F22" s="5"/>
      <c r="G22" s="5"/>
      <c r="H22" s="5"/>
      <c r="I22" s="5"/>
      <c r="J22" s="25"/>
      <c r="K22" s="24"/>
    </row>
    <row r="23" spans="1:15">
      <c r="A23" s="30" t="s">
        <v>34</v>
      </c>
      <c r="B23" s="38">
        <v>17.9361</v>
      </c>
      <c r="C23" s="38">
        <v>23.955749999999998</v>
      </c>
      <c r="D23" s="45">
        <v>21.5946</v>
      </c>
      <c r="E23" s="5" t="s">
        <v>0</v>
      </c>
      <c r="F23" s="5"/>
      <c r="G23" s="5"/>
      <c r="H23" s="5"/>
      <c r="I23" s="5"/>
      <c r="J23" s="25"/>
      <c r="K23" s="24"/>
    </row>
    <row r="24" spans="1:15">
      <c r="A24" s="30" t="s">
        <v>35</v>
      </c>
      <c r="B24" s="38">
        <v>44.676000000000002</v>
      </c>
      <c r="C24" s="38">
        <v>63.881999999999998</v>
      </c>
      <c r="D24" s="38">
        <v>57.585600000000007</v>
      </c>
      <c r="E24" s="5" t="s">
        <v>55</v>
      </c>
      <c r="F24" s="5"/>
      <c r="G24" s="5"/>
      <c r="H24" s="5"/>
      <c r="I24" s="5"/>
      <c r="J24" s="25"/>
      <c r="K24" s="24"/>
    </row>
    <row r="25" spans="1:15">
      <c r="A25" s="30" t="s">
        <v>36</v>
      </c>
      <c r="B25" s="38">
        <v>70.08</v>
      </c>
      <c r="C25" s="38" t="s">
        <v>54</v>
      </c>
      <c r="D25" s="38"/>
      <c r="E25" s="5"/>
      <c r="F25" s="5"/>
      <c r="G25" s="5"/>
      <c r="H25" s="5"/>
      <c r="I25" s="5"/>
      <c r="J25" s="25"/>
      <c r="K25" s="24"/>
    </row>
    <row r="26" spans="1:15">
      <c r="A26" s="30" t="s">
        <v>53</v>
      </c>
      <c r="B26" s="38">
        <v>34.820999999999998</v>
      </c>
      <c r="C26" s="38">
        <v>27.904499999999999</v>
      </c>
      <c r="D26" s="38">
        <v>54.378</v>
      </c>
      <c r="E26" s="25">
        <v>56.921999999999997</v>
      </c>
      <c r="F26" s="25">
        <v>102.75505440000001</v>
      </c>
      <c r="G26" s="25">
        <v>133.88667443797658</v>
      </c>
      <c r="H26" s="25">
        <v>180.95485069863477</v>
      </c>
      <c r="I26" s="25">
        <v>169.04211750865051</v>
      </c>
      <c r="J26" s="28">
        <v>176.61372813629609</v>
      </c>
      <c r="K26" s="29">
        <v>162.76504771399371</v>
      </c>
    </row>
    <row r="27" spans="1:15">
      <c r="A27" s="30" t="s">
        <v>38</v>
      </c>
      <c r="B27" s="38"/>
      <c r="C27" s="38"/>
      <c r="D27" s="38"/>
      <c r="E27" s="5"/>
      <c r="F27" s="25">
        <v>11.5687908</v>
      </c>
      <c r="G27" s="5" t="s">
        <v>52</v>
      </c>
      <c r="H27" s="5"/>
      <c r="I27" s="5"/>
      <c r="J27" s="25"/>
      <c r="K27" s="24"/>
    </row>
    <row r="28" spans="1:15">
      <c r="A28" s="30" t="s">
        <v>39</v>
      </c>
      <c r="B28" s="38"/>
      <c r="C28" s="38"/>
      <c r="D28" s="38"/>
      <c r="E28" s="25">
        <v>38.562636000000005</v>
      </c>
      <c r="F28" s="5" t="s">
        <v>51</v>
      </c>
      <c r="G28" s="5"/>
      <c r="H28" s="5"/>
      <c r="I28" s="5"/>
      <c r="J28" s="25"/>
      <c r="K28" s="24"/>
    </row>
    <row r="29" spans="1:15">
      <c r="A29" s="30" t="s">
        <v>40</v>
      </c>
      <c r="B29" s="38">
        <v>5.6</v>
      </c>
      <c r="C29" s="38" t="s">
        <v>50</v>
      </c>
      <c r="D29" s="38"/>
      <c r="E29" s="5"/>
      <c r="F29" s="5"/>
      <c r="G29" s="5"/>
      <c r="H29" s="5"/>
      <c r="I29" s="5"/>
      <c r="J29" s="25"/>
      <c r="K29" s="24"/>
    </row>
    <row r="30" spans="1:15">
      <c r="A30" s="30" t="s">
        <v>41</v>
      </c>
      <c r="B30" s="38">
        <v>471.1849000000002</v>
      </c>
      <c r="C30" s="38">
        <v>603.42249999999967</v>
      </c>
      <c r="D30" s="38">
        <v>500.50720000000001</v>
      </c>
      <c r="E30" s="38">
        <v>145.31016399999953</v>
      </c>
      <c r="F30" s="38">
        <v>631.74871866698277</v>
      </c>
      <c r="G30" s="38">
        <v>50.507586596639158</v>
      </c>
      <c r="H30" s="38">
        <v>118.97378860316076</v>
      </c>
      <c r="I30" s="38">
        <v>238.74120844290792</v>
      </c>
      <c r="J30" s="38">
        <v>220.55263669410579</v>
      </c>
      <c r="K30" s="38">
        <v>635.12867126436868</v>
      </c>
    </row>
    <row r="31" spans="1:15">
      <c r="A31" s="30" t="s">
        <v>42</v>
      </c>
      <c r="B31" s="5">
        <v>5.19</v>
      </c>
      <c r="C31" s="5">
        <v>5.17</v>
      </c>
      <c r="D31" s="5">
        <v>5.6</v>
      </c>
      <c r="E31" s="44">
        <v>5.19</v>
      </c>
      <c r="F31" s="44">
        <v>5.17</v>
      </c>
      <c r="G31" s="44">
        <v>4.91</v>
      </c>
      <c r="H31" s="44">
        <v>4.3</v>
      </c>
      <c r="I31" s="44">
        <v>3.96</v>
      </c>
      <c r="J31" s="24"/>
      <c r="K31" s="44">
        <v>4.21</v>
      </c>
    </row>
    <row r="32" spans="1:15">
      <c r="A32" s="30" t="s">
        <v>43</v>
      </c>
      <c r="B32" s="5"/>
      <c r="C32" s="5">
        <v>108</v>
      </c>
      <c r="D32" s="5">
        <v>108</v>
      </c>
      <c r="E32" s="43">
        <v>105</v>
      </c>
      <c r="F32" s="43">
        <v>104</v>
      </c>
      <c r="G32" s="43">
        <v>100</v>
      </c>
      <c r="H32" s="43">
        <v>96</v>
      </c>
      <c r="I32" s="43">
        <v>94</v>
      </c>
      <c r="J32" s="42"/>
      <c r="K32" s="42">
        <v>95</v>
      </c>
    </row>
    <row r="33" spans="1:11">
      <c r="A33" s="30" t="s">
        <v>44</v>
      </c>
      <c r="B33" s="41">
        <v>2190</v>
      </c>
      <c r="C33" s="41">
        <v>2925</v>
      </c>
      <c r="D33" s="41">
        <v>2790</v>
      </c>
      <c r="E33" s="40">
        <v>3310</v>
      </c>
      <c r="F33" s="40">
        <v>4668.6000000000004</v>
      </c>
      <c r="G33" s="40">
        <v>5033.8999999999996</v>
      </c>
      <c r="H33" s="40">
        <v>5482.3</v>
      </c>
      <c r="I33" s="40">
        <v>5009.8</v>
      </c>
      <c r="J33" s="28">
        <v>4978.5</v>
      </c>
      <c r="K33" s="39">
        <v>4797.8</v>
      </c>
    </row>
    <row r="34" spans="1:11">
      <c r="A34" s="30" t="s">
        <v>45</v>
      </c>
      <c r="B34" s="38">
        <v>61.438356164383563</v>
      </c>
      <c r="C34" s="38">
        <v>63.644444444444446</v>
      </c>
      <c r="D34" s="38">
        <v>61.835125448028677</v>
      </c>
      <c r="E34" s="25">
        <v>65.0785498489426</v>
      </c>
      <c r="F34" s="25">
        <v>68.183181253480683</v>
      </c>
      <c r="G34" s="25">
        <v>69.852400723097404</v>
      </c>
      <c r="H34" s="25">
        <v>75.074330116921729</v>
      </c>
      <c r="I34" s="25">
        <v>72.451994091580502</v>
      </c>
      <c r="J34" s="37">
        <v>73.405644270362558</v>
      </c>
      <c r="K34" s="36">
        <v>69.1275167785235</v>
      </c>
    </row>
    <row r="35" spans="1:11">
      <c r="A35" s="30" t="s">
        <v>46</v>
      </c>
      <c r="B35" s="38">
        <v>1165.7317612226602</v>
      </c>
      <c r="C35" s="38">
        <v>1212.5114179268023</v>
      </c>
      <c r="D35" s="38">
        <v>1162.4349892730049</v>
      </c>
      <c r="E35" s="25">
        <v>1428.7040735298142</v>
      </c>
      <c r="F35" s="25">
        <v>1359.4083818790039</v>
      </c>
      <c r="G35" s="25">
        <v>1527.0922392488944</v>
      </c>
      <c r="H35" s="25">
        <v>1627.8727679890239</v>
      </c>
      <c r="I35" s="25">
        <v>1516.582825220554</v>
      </c>
      <c r="J35" s="37">
        <v>1542.1897205084404</v>
      </c>
      <c r="K35" s="36">
        <v>1397.8535938494233</v>
      </c>
    </row>
    <row r="36" spans="1:11">
      <c r="A36" s="35"/>
      <c r="B36" s="35"/>
      <c r="C36" s="35"/>
      <c r="D36" s="35"/>
      <c r="E36" s="34"/>
      <c r="F36" s="34"/>
      <c r="G36" s="34"/>
      <c r="H36" s="34"/>
      <c r="I36" s="34"/>
      <c r="J36" s="34"/>
    </row>
    <row r="37" spans="1:11">
      <c r="A37" s="23" t="s">
        <v>49</v>
      </c>
      <c r="J37" s="33"/>
      <c r="K37" s="32"/>
    </row>
    <row r="38" spans="1:11">
      <c r="A38" s="31" t="s">
        <v>48</v>
      </c>
      <c r="K38" s="23"/>
    </row>
    <row r="40" spans="1:11">
      <c r="K40" s="23"/>
    </row>
    <row r="42" spans="1:11">
      <c r="A42" s="30"/>
      <c r="B42" s="30"/>
      <c r="C42" s="30"/>
      <c r="D42" s="30"/>
      <c r="E42" s="5"/>
      <c r="F42" s="5"/>
      <c r="G42" s="5"/>
      <c r="H42" s="5"/>
      <c r="I42" s="5"/>
      <c r="J42" s="5"/>
      <c r="K42" s="5"/>
    </row>
    <row r="43" spans="1:11">
      <c r="A43" s="5"/>
      <c r="B43" s="5"/>
      <c r="C43" s="28"/>
      <c r="D43" s="29"/>
      <c r="E43"/>
      <c r="F43"/>
      <c r="G43"/>
      <c r="H43"/>
      <c r="I43"/>
      <c r="J43"/>
    </row>
    <row r="44" spans="1:11">
      <c r="A44" s="28"/>
      <c r="B44" s="27"/>
      <c r="C44" s="25"/>
      <c r="D44" s="26"/>
      <c r="E44"/>
      <c r="F44"/>
      <c r="G44"/>
      <c r="H44"/>
      <c r="I44"/>
      <c r="J44"/>
    </row>
    <row r="45" spans="1:11">
      <c r="A45" s="5"/>
      <c r="B45" s="5"/>
      <c r="C45" s="25"/>
      <c r="D45" s="24"/>
      <c r="E45"/>
      <c r="F45"/>
      <c r="G45"/>
      <c r="H45"/>
      <c r="I45"/>
      <c r="J45"/>
    </row>
    <row r="46" spans="1:11">
      <c r="D46"/>
      <c r="E46"/>
      <c r="F46"/>
      <c r="G46"/>
      <c r="H46"/>
      <c r="I46"/>
      <c r="J46"/>
    </row>
  </sheetData>
  <phoneticPr fontId="2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Newspaper ($)</vt:lpstr>
      <vt:lpstr>Newspaper (mrkt share)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2013-10-18T00:29:43Z</dcterms:created>
  <dcterms:modified xsi:type="dcterms:W3CDTF">2013-10-18T00:32:48Z</dcterms:modified>
</cp:coreProperties>
</file>