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comments2.xml" ContentType="application/vnd.openxmlformats-officedocument.spreadsheetml.comment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Default Extension="jpeg" ContentType="image/jpeg"/>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20" yWindow="220" windowWidth="21360" windowHeight="13840" tabRatio="500" activeTab="1"/>
  </bookViews>
  <sheets>
    <sheet name="Magazines ($)" sheetId="1" r:id="rId1"/>
    <sheet name="Magazines (mrkt share)" sheetId="2" r:id="rId2"/>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22" i="1"/>
  <c r="K22"/>
  <c r="K3" i="2"/>
  <c r="K5"/>
  <c r="K7"/>
  <c r="K8"/>
  <c r="K9"/>
  <c r="K10"/>
  <c r="K11"/>
  <c r="K12"/>
  <c r="K13"/>
  <c r="K14"/>
  <c r="K15"/>
  <c r="K16"/>
  <c r="K17"/>
  <c r="K18"/>
  <c r="K19"/>
  <c r="K20"/>
  <c r="K21"/>
  <c r="K23"/>
  <c r="K24"/>
  <c r="K25"/>
  <c r="K26"/>
  <c r="K27"/>
  <c r="K28"/>
  <c r="K29"/>
  <c r="K30"/>
  <c r="K31"/>
  <c r="K32"/>
  <c r="K34"/>
  <c r="K22"/>
  <c r="K38"/>
  <c r="J3"/>
  <c r="J5"/>
  <c r="J7"/>
  <c r="J8"/>
  <c r="J9"/>
  <c r="J10"/>
  <c r="J11"/>
  <c r="J12"/>
  <c r="J13"/>
  <c r="J14"/>
  <c r="J15"/>
  <c r="J16"/>
  <c r="J17"/>
  <c r="J18"/>
  <c r="J19"/>
  <c r="J20"/>
  <c r="J21"/>
  <c r="J22"/>
  <c r="J23"/>
  <c r="J24"/>
  <c r="J25"/>
  <c r="J26"/>
  <c r="J27"/>
  <c r="J28"/>
  <c r="J29"/>
  <c r="J30"/>
  <c r="J31"/>
  <c r="J32"/>
  <c r="J34"/>
  <c r="J38"/>
  <c r="I15"/>
  <c r="I3"/>
  <c r="I5"/>
  <c r="I7"/>
  <c r="I8"/>
  <c r="I9"/>
  <c r="I10"/>
  <c r="I11"/>
  <c r="I12"/>
  <c r="I13"/>
  <c r="I14"/>
  <c r="I16"/>
  <c r="I17"/>
  <c r="I18"/>
  <c r="I19"/>
  <c r="I20"/>
  <c r="I21"/>
  <c r="I22"/>
  <c r="I23"/>
  <c r="I24"/>
  <c r="I25"/>
  <c r="I26"/>
  <c r="I27"/>
  <c r="I28"/>
  <c r="I29"/>
  <c r="I30"/>
  <c r="I31"/>
  <c r="I32"/>
  <c r="I34"/>
  <c r="I38"/>
  <c r="H3"/>
  <c r="H5"/>
  <c r="H7"/>
  <c r="H8"/>
  <c r="H9"/>
  <c r="H10"/>
  <c r="H11"/>
  <c r="H12"/>
  <c r="H13"/>
  <c r="H14"/>
  <c r="H15"/>
  <c r="H16"/>
  <c r="H17"/>
  <c r="H18"/>
  <c r="H19"/>
  <c r="H20"/>
  <c r="H21"/>
  <c r="H22"/>
  <c r="H23"/>
  <c r="H24"/>
  <c r="H25"/>
  <c r="H26"/>
  <c r="H27"/>
  <c r="H28"/>
  <c r="H29"/>
  <c r="H30"/>
  <c r="H31"/>
  <c r="H32"/>
  <c r="H33"/>
  <c r="H34"/>
  <c r="H35"/>
  <c r="H38"/>
  <c r="G3"/>
  <c r="G5"/>
  <c r="G7"/>
  <c r="G8"/>
  <c r="G9"/>
  <c r="G10"/>
  <c r="G11"/>
  <c r="G12"/>
  <c r="G14"/>
  <c r="G13"/>
  <c r="G15"/>
  <c r="G16"/>
  <c r="G17"/>
  <c r="G18"/>
  <c r="G19"/>
  <c r="G20"/>
  <c r="G21"/>
  <c r="G22"/>
  <c r="G23"/>
  <c r="G24"/>
  <c r="G25"/>
  <c r="G26"/>
  <c r="G28"/>
  <c r="G29"/>
  <c r="G30"/>
  <c r="G31"/>
  <c r="G32"/>
  <c r="G33"/>
  <c r="G35"/>
  <c r="G38"/>
  <c r="F3"/>
  <c r="F5"/>
  <c r="F7"/>
  <c r="F8"/>
  <c r="F9"/>
  <c r="F10"/>
  <c r="F11"/>
  <c r="F12"/>
  <c r="F13"/>
  <c r="F14"/>
  <c r="F15"/>
  <c r="F16"/>
  <c r="F17"/>
  <c r="F18"/>
  <c r="F20"/>
  <c r="F38"/>
  <c r="E3"/>
  <c r="E5"/>
  <c r="E6"/>
  <c r="E7"/>
  <c r="E9"/>
  <c r="E8"/>
  <c r="E10"/>
  <c r="E11"/>
  <c r="E12"/>
  <c r="E13"/>
  <c r="E14"/>
  <c r="E15"/>
  <c r="E16"/>
  <c r="E17"/>
  <c r="E18"/>
  <c r="E20"/>
  <c r="E38"/>
  <c r="D4"/>
  <c r="D5"/>
  <c r="D6"/>
  <c r="D7"/>
  <c r="D8"/>
  <c r="D9"/>
  <c r="D10"/>
  <c r="D11"/>
  <c r="D12"/>
  <c r="D13"/>
  <c r="D15"/>
  <c r="D16"/>
  <c r="D17"/>
  <c r="D18"/>
  <c r="D20"/>
  <c r="D38"/>
  <c r="C4"/>
  <c r="C5"/>
  <c r="C6"/>
  <c r="C7"/>
  <c r="C8"/>
  <c r="C9"/>
  <c r="C10"/>
  <c r="C11"/>
  <c r="C12"/>
  <c r="C13"/>
  <c r="C15"/>
  <c r="C16"/>
  <c r="C17"/>
  <c r="C18"/>
  <c r="C20"/>
  <c r="C38"/>
  <c r="B4"/>
  <c r="B5"/>
  <c r="B6"/>
  <c r="B7"/>
  <c r="B8"/>
  <c r="B9"/>
  <c r="B10"/>
  <c r="B11"/>
  <c r="B12"/>
  <c r="B13"/>
  <c r="B15"/>
  <c r="B16"/>
  <c r="B17"/>
  <c r="B18"/>
  <c r="B20"/>
  <c r="B38"/>
  <c r="K37"/>
  <c r="J37"/>
  <c r="I37"/>
  <c r="H37"/>
  <c r="G37"/>
  <c r="F37"/>
  <c r="E37"/>
  <c r="D37"/>
  <c r="C37"/>
  <c r="B37"/>
</calcChain>
</file>

<file path=xl/comments1.xml><?xml version="1.0" encoding="utf-8"?>
<comments xmlns="http://schemas.openxmlformats.org/spreadsheetml/2006/main">
  <authors>
    <author>Dwayne Winseck</author>
  </authors>
  <commentList>
    <comment ref="G3" authorId="0">
      <text>
        <r>
          <rPr>
            <b/>
            <sz val="9"/>
            <color indexed="81"/>
            <rFont val="Calibri"/>
            <family val="2"/>
          </rPr>
          <t>Dwayne Winseck:</t>
        </r>
        <r>
          <rPr>
            <sz val="9"/>
            <color indexed="81"/>
            <rFont val="Calibri"/>
            <family val="2"/>
          </rPr>
          <t xml:space="preserve">
Rogers Annual Report 2004, p. 42. 80% of publishing sector revenue assigned to magazines, the rest to trade publications, directories, etc. </t>
        </r>
      </text>
    </comment>
    <comment ref="H3" authorId="0">
      <text>
        <r>
          <rPr>
            <b/>
            <sz val="9"/>
            <color indexed="81"/>
            <rFont val="Calibri"/>
            <family val="2"/>
          </rPr>
          <t>Dwayne Winseck:</t>
        </r>
        <r>
          <rPr>
            <sz val="9"/>
            <color indexed="81"/>
            <rFont val="Calibri"/>
            <family val="2"/>
          </rPr>
          <t xml:space="preserve">
Rogers Annual Report 2008.  Annual Report indicates that 14% of 'media segment' revenue from publishing. I have assigned 80% of this amount to magazines, with the rest accounted for by trade journals, directories and other.</t>
        </r>
      </text>
    </comment>
    <comment ref="I3" authorId="0">
      <text>
        <r>
          <rPr>
            <b/>
            <sz val="9"/>
            <color indexed="81"/>
            <rFont val="Calibri"/>
            <family val="2"/>
          </rPr>
          <t>Dwayne Winseck:</t>
        </r>
        <r>
          <rPr>
            <sz val="9"/>
            <color indexed="81"/>
            <rFont val="Calibri"/>
            <family val="2"/>
          </rPr>
          <t xml:space="preserve">
Rogers Annual Report 2012, p. 1. </t>
        </r>
      </text>
    </comment>
    <comment ref="J3" authorId="0">
      <text>
        <r>
          <rPr>
            <b/>
            <sz val="9"/>
            <color indexed="81"/>
            <rFont val="Calibri"/>
            <family val="2"/>
          </rPr>
          <t>Dwayne Winseck:</t>
        </r>
        <r>
          <rPr>
            <sz val="9"/>
            <color indexed="81"/>
            <rFont val="Calibri"/>
            <family val="2"/>
          </rPr>
          <t xml:space="preserve">
Rogers Annual Report 2012, p. 1. </t>
        </r>
      </text>
    </comment>
    <comment ref="K3" authorId="0">
      <text>
        <r>
          <rPr>
            <b/>
            <sz val="9"/>
            <color indexed="81"/>
            <rFont val="Calibri"/>
            <family val="2"/>
          </rPr>
          <t>Dwayne Winseck:</t>
        </r>
        <r>
          <rPr>
            <sz val="9"/>
            <color indexed="81"/>
            <rFont val="Calibri"/>
            <family val="2"/>
          </rPr>
          <t xml:space="preserve">
Rogers Annual Report 2012, p. 1. Annual Report indicates that 14% of 'media segment' revenue from publishing. I have assigned 80% of this amount to magazines, with the rest accounted for by trade journals, directories and other.</t>
        </r>
      </text>
    </comment>
    <comment ref="I5" authorId="0">
      <text>
        <r>
          <rPr>
            <b/>
            <sz val="9"/>
            <color indexed="81"/>
            <rFont val="Calibri"/>
            <family val="2"/>
          </rPr>
          <t>Dwayne Winseck:</t>
        </r>
        <r>
          <rPr>
            <sz val="9"/>
            <color indexed="81"/>
            <rFont val="Calibri"/>
            <family val="2"/>
          </rPr>
          <t xml:space="preserve">
Annual Report 2011, pp. 17-19 notes that magazines account for 25% of media segment revenues of $612.4 million.</t>
        </r>
      </text>
    </comment>
    <comment ref="J5" authorId="0">
      <text>
        <r>
          <rPr>
            <b/>
            <sz val="9"/>
            <color indexed="81"/>
            <rFont val="Calibri"/>
            <family val="2"/>
          </rPr>
          <t>Dwayne Winseck:</t>
        </r>
        <r>
          <rPr>
            <sz val="9"/>
            <color indexed="81"/>
            <rFont val="Calibri"/>
            <family val="2"/>
          </rPr>
          <t xml:space="preserve">
Annual Report 2011, pp. 17-19 notes that magazines account for 25% of media segment revenues of $612.4 million.</t>
        </r>
      </text>
    </comment>
    <comment ref="K5" authorId="0">
      <text>
        <r>
          <rPr>
            <b/>
            <sz val="9"/>
            <color indexed="81"/>
            <rFont val="Calibri"/>
            <family val="2"/>
          </rPr>
          <t>Dwayne Winseck:</t>
        </r>
        <r>
          <rPr>
            <sz val="9"/>
            <color indexed="81"/>
            <rFont val="Calibri"/>
            <family val="2"/>
          </rPr>
          <t xml:space="preserve">
Estimate based on textual comments in Annual Report 2012 at pages 36-37 indicating slight year-over-year decline in magazine revenues. Indicates decline of $20.8 million in existing operations, with $7.5 million of that amount attributable to books. Remainder split between newspapers and magazines. </t>
        </r>
      </text>
    </comment>
    <comment ref="K7" authorId="0">
      <text>
        <r>
          <rPr>
            <b/>
            <sz val="9"/>
            <color indexed="81"/>
            <rFont val="Calibri"/>
            <family val="2"/>
          </rPr>
          <t>Dwayne Winseck:</t>
        </r>
        <r>
          <rPr>
            <sz val="9"/>
            <color indexed="81"/>
            <rFont val="Calibri"/>
            <family val="2"/>
          </rPr>
          <t xml:space="preserve">
Revenues for 2010-2012 estimated based on Canada accounting for 2.5% of Time Warner's total publishing revenue - an amount equal to title by title tally for 2008.</t>
        </r>
      </text>
    </comment>
    <comment ref="F8" authorId="0">
      <text>
        <r>
          <rPr>
            <b/>
            <sz val="9"/>
            <color indexed="81"/>
            <rFont val="Calibri"/>
            <family val="2"/>
          </rPr>
          <t>Dwayne Winseck:</t>
        </r>
        <r>
          <rPr>
            <sz val="9"/>
            <color indexed="81"/>
            <rFont val="Calibri"/>
            <family val="2"/>
          </rPr>
          <t xml:space="preserve">
Annual Information Form 2004, p. 7.  17% of TVA Groupe revenues allocated to magazines based on proportion identified in subsequent Annual Information Reports and Presentations to investors and financial industry conferences. </t>
        </r>
      </text>
    </comment>
    <comment ref="G8" authorId="0">
      <text>
        <r>
          <rPr>
            <b/>
            <sz val="9"/>
            <color indexed="81"/>
            <rFont val="Calibri"/>
            <family val="2"/>
          </rPr>
          <t>Dwayne Winseck:</t>
        </r>
        <r>
          <rPr>
            <sz val="9"/>
            <color indexed="81"/>
            <rFont val="Calibri"/>
            <family val="2"/>
          </rPr>
          <t xml:space="preserve">
Annual Information Form 2004, p. 7.  17% of TVA Groupe revenues allocated to magazines based on proportion identified in subsequent Annual Information Reports and Presentations to investors and financial industry conferences. </t>
        </r>
      </text>
    </comment>
    <comment ref="H8" authorId="0">
      <text>
        <r>
          <rPr>
            <b/>
            <sz val="9"/>
            <color indexed="81"/>
            <rFont val="Calibri"/>
            <family val="2"/>
          </rPr>
          <t>Dwayne Winseck:</t>
        </r>
        <r>
          <rPr>
            <sz val="9"/>
            <color indexed="81"/>
            <rFont val="Calibri"/>
            <family val="2"/>
          </rPr>
          <t xml:space="preserve">
Annual Information Form 2008, p. A-1.</t>
        </r>
      </text>
    </comment>
    <comment ref="I8" authorId="0">
      <text>
        <r>
          <rPr>
            <b/>
            <sz val="9"/>
            <color indexed="81"/>
            <rFont val="Calibri"/>
            <family val="2"/>
          </rPr>
          <t>Dwayne Winseck:</t>
        </r>
        <r>
          <rPr>
            <sz val="9"/>
            <color indexed="81"/>
            <rFont val="Calibri"/>
            <family val="2"/>
          </rPr>
          <t xml:space="preserve">
Annual Information Form 2011, p. A-3.</t>
        </r>
      </text>
    </comment>
    <comment ref="J8" authorId="0">
      <text>
        <r>
          <rPr>
            <b/>
            <sz val="9"/>
            <color indexed="81"/>
            <rFont val="Calibri"/>
            <family val="2"/>
          </rPr>
          <t>Dwayne Winseck:</t>
        </r>
        <r>
          <rPr>
            <sz val="9"/>
            <color indexed="81"/>
            <rFont val="Calibri"/>
            <family val="2"/>
          </rPr>
          <t xml:space="preserve">
Annual Information Form 2012, p. A-3.</t>
        </r>
      </text>
    </comment>
    <comment ref="K8" authorId="0">
      <text>
        <r>
          <rPr>
            <b/>
            <sz val="9"/>
            <color indexed="81"/>
            <rFont val="Calibri"/>
            <family val="2"/>
          </rPr>
          <t>Dwayne Winseck:</t>
        </r>
        <r>
          <rPr>
            <sz val="9"/>
            <color indexed="81"/>
            <rFont val="Calibri"/>
            <family val="2"/>
          </rPr>
          <t xml:space="preserve">
Annual Information Form 2012, p. A-3.</t>
        </r>
      </text>
    </comment>
    <comment ref="K9" authorId="0">
      <text>
        <r>
          <rPr>
            <b/>
            <sz val="9"/>
            <color indexed="81"/>
            <rFont val="Calibri"/>
            <family val="2"/>
          </rPr>
          <t>Dwayne Winseck:</t>
        </r>
        <r>
          <rPr>
            <sz val="9"/>
            <color indexed="81"/>
            <rFont val="Calibri"/>
            <family val="2"/>
          </rPr>
          <t xml:space="preserve">
Revenues for 2010-2012 estimated based on Canada accounting for 12.6% of American Media's total revenue as reported in its Annual Report 2012, p. 22 - an amount equal to title by title tally for 2008.</t>
        </r>
      </text>
    </comment>
    <comment ref="K10" authorId="0">
      <text>
        <r>
          <rPr>
            <b/>
            <sz val="9"/>
            <color indexed="81"/>
            <rFont val="Calibri"/>
            <family val="2"/>
          </rPr>
          <t>Dwayne Winseck:</t>
        </r>
        <r>
          <rPr>
            <sz val="9"/>
            <color indexed="81"/>
            <rFont val="Calibri"/>
            <family val="2"/>
          </rPr>
          <t xml:space="preserve">
Revenues for 2010-2012 estimated based on Canada accounting for 1.6% of Bauer Media's total revenue as reported in the Facts and Figures section of its website - an amount equal to title by title tally for 2008.</t>
        </r>
      </text>
    </comment>
    <comment ref="K11" authorId="0">
      <text>
        <r>
          <rPr>
            <b/>
            <sz val="9"/>
            <color indexed="81"/>
            <rFont val="Calibri"/>
            <family val="2"/>
          </rPr>
          <t>Dwayne Winseck:</t>
        </r>
        <r>
          <rPr>
            <sz val="9"/>
            <color indexed="81"/>
            <rFont val="Calibri"/>
            <family val="2"/>
          </rPr>
          <t xml:space="preserve">
Hearst is privately traded company so it does not make its revenue figures available. Revenues for 2010-2012 estimated based on average rate of growth/decline of Time Warner, Bauer and Readers Digest revenues in Canada. Figures for 2008 and earlier based on an title by title tally of advertising, subscription and newstand revenue.</t>
        </r>
      </text>
    </comment>
    <comment ref="H14" authorId="0">
      <text>
        <r>
          <rPr>
            <b/>
            <sz val="9"/>
            <color indexed="81"/>
            <rFont val="Calibri"/>
            <family val="2"/>
          </rPr>
          <t>Dwayne Winseck:</t>
        </r>
        <r>
          <rPr>
            <sz val="9"/>
            <color indexed="81"/>
            <rFont val="Calibri"/>
            <family val="2"/>
          </rPr>
          <t xml:space="preserve">
Estimate based on CDN revenues being 1/10 of those in the U.S., as indicated in Bonnier Annual Report 2008, p. 2. For 2000 and 2004 same method is used, but estimates for US based on avg share of magazine revenues in 2008-2012 period, i.e. 36%. Historical revenue figures available in Annual Report 2008, p. 33.</t>
        </r>
      </text>
    </comment>
    <comment ref="I14" authorId="0">
      <text>
        <r>
          <rPr>
            <b/>
            <sz val="9"/>
            <color indexed="81"/>
            <rFont val="Calibri"/>
            <family val="2"/>
          </rPr>
          <t>Dwayne Winseck:</t>
        </r>
        <r>
          <rPr>
            <sz val="9"/>
            <color indexed="81"/>
            <rFont val="Calibri"/>
            <family val="2"/>
          </rPr>
          <t xml:space="preserve">
Estimate based on CDN revenues being 1/10 of those in the U.S., as indicated in Bonnier Annual Report 2010, p. 4.</t>
        </r>
      </text>
    </comment>
    <comment ref="K14" authorId="0">
      <text>
        <r>
          <rPr>
            <b/>
            <sz val="9"/>
            <color indexed="81"/>
            <rFont val="Calibri"/>
            <family val="2"/>
          </rPr>
          <t>Dwayne Winseck:</t>
        </r>
        <r>
          <rPr>
            <sz val="9"/>
            <color indexed="81"/>
            <rFont val="Calibri"/>
            <family val="2"/>
          </rPr>
          <t xml:space="preserve">
Estimate based on CDN revenues being 1/10 of those in the U.S., as indicated in Bonnier Annual Report 2012, p. 4.</t>
        </r>
      </text>
    </comment>
    <comment ref="K15" authorId="0">
      <text>
        <r>
          <rPr>
            <b/>
            <sz val="9"/>
            <color indexed="81"/>
            <rFont val="Calibri"/>
            <family val="2"/>
          </rPr>
          <t>Dwayne Winseck:</t>
        </r>
        <r>
          <rPr>
            <sz val="9"/>
            <color indexed="81"/>
            <rFont val="Calibri"/>
            <family val="2"/>
          </rPr>
          <t xml:space="preserve">
Readers Digest is not a publicly-traded company so it does not make its revenue figures available. Revenues for 2010-2012 estimated based on average rate of growth/decline of Time Warner, Bauer and Readers Digest revenues in Canada. Figures prior to that based on an title by title tally of advertising, subscription and newstand revenue.</t>
        </r>
      </text>
    </comment>
    <comment ref="K16" authorId="0">
      <text>
        <r>
          <rPr>
            <b/>
            <sz val="9"/>
            <color indexed="81"/>
            <rFont val="Calibri"/>
            <family val="2"/>
          </rPr>
          <t>Dwayne Winseck:</t>
        </r>
        <r>
          <rPr>
            <sz val="9"/>
            <color indexed="81"/>
            <rFont val="Calibri"/>
            <family val="2"/>
          </rPr>
          <t xml:space="preserve">
Conde Nast is privately traded company so it does not make its revenue figures available. Revenues for 2010-2012 estimated based on average rate of growth/decline of Time Warner, Bauer and Readers Digest revenues in Canada. Figures for 2008 and earlier based on an title by title tally of advertising, subscription and newstand revenue.</t>
        </r>
      </text>
    </comment>
    <comment ref="K18" authorId="0">
      <text>
        <r>
          <rPr>
            <b/>
            <sz val="9"/>
            <color indexed="81"/>
            <rFont val="Calibri"/>
            <family val="2"/>
          </rPr>
          <t>Dwayne Winseck:</t>
        </r>
        <r>
          <rPr>
            <sz val="9"/>
            <color indexed="81"/>
            <rFont val="Calibri"/>
            <family val="2"/>
          </rPr>
          <t xml:space="preserve">
Revenues for 2010-2012 estimated based on Canada accounting for 1.2% of Meredith's total revenue as reported in its Annual Report 2011 and 2012 - an amount equal to title by title tally of revenues for 2008.</t>
        </r>
      </text>
    </comment>
    <comment ref="K20" authorId="0">
      <text>
        <r>
          <rPr>
            <b/>
            <sz val="9"/>
            <color indexed="81"/>
            <rFont val="Calibri"/>
            <family val="2"/>
          </rPr>
          <t>Dwayne Winseck:</t>
        </r>
        <r>
          <rPr>
            <sz val="9"/>
            <color indexed="81"/>
            <rFont val="Calibri"/>
            <family val="2"/>
          </rPr>
          <t xml:space="preserve">
Wenner is a privately traded company so it does not make its revenue figures available. Revenues for 2010-2012 estimated based on average rate of growth/decline of Time Warner, Bauer and Readers Digest revenues in Canada. Figures for 2008 and earlier based on an title by title tally of advertising, subscription and newstand revenue.</t>
        </r>
      </text>
    </comment>
    <comment ref="K25" authorId="0">
      <text>
        <r>
          <rPr>
            <b/>
            <sz val="9"/>
            <color indexed="81"/>
            <rFont val="Calibri"/>
            <family val="2"/>
          </rPr>
          <t>Dwayne Winseck:</t>
        </r>
        <r>
          <rPr>
            <sz val="9"/>
            <color indexed="81"/>
            <rFont val="Calibri"/>
            <family val="2"/>
          </rPr>
          <t xml:space="preserve">
Buzz Media is a privately traded company so it does not make its revenue figures available. Revenues for 2010-2012 estimated based on average rate of growth/decline of Time Warner, Bauer and Readers Digest revenues in Canada. Figures for 2008 and earlier based on an title by title tally of advertising, subscription and newstand revenue.</t>
        </r>
      </text>
    </comment>
  </commentList>
</comments>
</file>

<file path=xl/comments2.xml><?xml version="1.0" encoding="utf-8"?>
<comments xmlns="http://schemas.openxmlformats.org/spreadsheetml/2006/main">
  <authors>
    <author>Dwayne Winseck</author>
  </authors>
  <commentList>
    <comment ref="G3" authorId="0">
      <text>
        <r>
          <rPr>
            <b/>
            <sz val="9"/>
            <color indexed="81"/>
            <rFont val="Calibri"/>
            <family val="2"/>
          </rPr>
          <t>Dwayne Winseck:</t>
        </r>
        <r>
          <rPr>
            <sz val="9"/>
            <color indexed="81"/>
            <rFont val="Calibri"/>
            <family val="2"/>
          </rPr>
          <t xml:space="preserve">
Rogers Annual Report 2004, p. 42. 80% of publishing sector revenue assigned to magazines, the rest to trade publications, directories, etc. </t>
        </r>
      </text>
    </comment>
    <comment ref="H3" authorId="0">
      <text>
        <r>
          <rPr>
            <b/>
            <sz val="9"/>
            <color indexed="81"/>
            <rFont val="Calibri"/>
            <family val="2"/>
          </rPr>
          <t>Dwayne Winseck:</t>
        </r>
        <r>
          <rPr>
            <sz val="9"/>
            <color indexed="81"/>
            <rFont val="Calibri"/>
            <family val="2"/>
          </rPr>
          <t xml:space="preserve">
Rogers Annual Report 2008.  Annual Report indicates that 14% of 'media segment' revenue from publishing. I have assigned 80% of this amount to magazines, with the rest accounted for by trade journals, directories and other.</t>
        </r>
      </text>
    </comment>
    <comment ref="I3" authorId="0">
      <text>
        <r>
          <rPr>
            <b/>
            <sz val="9"/>
            <color indexed="81"/>
            <rFont val="Calibri"/>
            <family val="2"/>
          </rPr>
          <t>Dwayne Winseck:</t>
        </r>
        <r>
          <rPr>
            <sz val="9"/>
            <color indexed="81"/>
            <rFont val="Calibri"/>
            <family val="2"/>
          </rPr>
          <t xml:space="preserve">
Rogers Annual Report 2012, p. 1. </t>
        </r>
      </text>
    </comment>
    <comment ref="J3" authorId="0">
      <text>
        <r>
          <rPr>
            <b/>
            <sz val="9"/>
            <color indexed="81"/>
            <rFont val="Calibri"/>
            <family val="2"/>
          </rPr>
          <t>Dwayne Winseck:</t>
        </r>
        <r>
          <rPr>
            <sz val="9"/>
            <color indexed="81"/>
            <rFont val="Calibri"/>
            <family val="2"/>
          </rPr>
          <t xml:space="preserve">
Rogers Annual Report 2012, p. 1. </t>
        </r>
      </text>
    </comment>
    <comment ref="K3" authorId="0">
      <text>
        <r>
          <rPr>
            <b/>
            <sz val="9"/>
            <color indexed="81"/>
            <rFont val="Calibri"/>
            <family val="2"/>
          </rPr>
          <t>Dwayne Winseck:</t>
        </r>
        <r>
          <rPr>
            <sz val="9"/>
            <color indexed="81"/>
            <rFont val="Calibri"/>
            <family val="2"/>
          </rPr>
          <t xml:space="preserve">
Rogers Annual Report 2012, p. 1. Annual Report indicates that 14% of 'media segment' revenue from publishing. I have assigned 80% of this amount to magazines, with the rest accounted for by trade journals, directories and other.</t>
        </r>
      </text>
    </comment>
    <comment ref="I5" authorId="0">
      <text>
        <r>
          <rPr>
            <b/>
            <sz val="9"/>
            <color indexed="81"/>
            <rFont val="Calibri"/>
            <family val="2"/>
          </rPr>
          <t>Dwayne Winseck:</t>
        </r>
        <r>
          <rPr>
            <sz val="9"/>
            <color indexed="81"/>
            <rFont val="Calibri"/>
            <family val="2"/>
          </rPr>
          <t xml:space="preserve">
Annual Report 2011, pp. 17-19 notes that magazines account for 25% of media segment revenues of $612.4 million.</t>
        </r>
      </text>
    </comment>
    <comment ref="J5" authorId="0">
      <text>
        <r>
          <rPr>
            <b/>
            <sz val="9"/>
            <color indexed="81"/>
            <rFont val="Calibri"/>
            <family val="2"/>
          </rPr>
          <t>Dwayne Winseck:</t>
        </r>
        <r>
          <rPr>
            <sz val="9"/>
            <color indexed="81"/>
            <rFont val="Calibri"/>
            <family val="2"/>
          </rPr>
          <t xml:space="preserve">
Annual Report 2011, pp. 17-19 notes that magazines account for 25% of media segment revenues of $612.4 million.</t>
        </r>
      </text>
    </comment>
    <comment ref="K5" authorId="0">
      <text>
        <r>
          <rPr>
            <b/>
            <sz val="9"/>
            <color indexed="81"/>
            <rFont val="Calibri"/>
            <family val="2"/>
          </rPr>
          <t>Dwayne Winseck:</t>
        </r>
        <r>
          <rPr>
            <sz val="9"/>
            <color indexed="81"/>
            <rFont val="Calibri"/>
            <family val="2"/>
          </rPr>
          <t xml:space="preserve">
Estimate based on textual comments in Annual Report 2012 at pages 36-37 indicating slight year-over-year decline in magazine revenues. Indicates decline of $20.8 million in existing operations, with $7.5 million of that amount attributable to books. Remainder split between newspapers and magazines. </t>
        </r>
      </text>
    </comment>
    <comment ref="K7" authorId="0">
      <text>
        <r>
          <rPr>
            <b/>
            <sz val="9"/>
            <color indexed="81"/>
            <rFont val="Calibri"/>
            <family val="2"/>
          </rPr>
          <t>Dwayne Winseck:</t>
        </r>
        <r>
          <rPr>
            <sz val="9"/>
            <color indexed="81"/>
            <rFont val="Calibri"/>
            <family val="2"/>
          </rPr>
          <t xml:space="preserve">
Revenues for 2010-2012 estimated based on Canada accounting for 2.5% of Time Warner's total publishing revenue - an amount equal to title by title tally for 2008.</t>
        </r>
      </text>
    </comment>
    <comment ref="F8" authorId="0">
      <text>
        <r>
          <rPr>
            <b/>
            <sz val="9"/>
            <color indexed="81"/>
            <rFont val="Calibri"/>
            <family val="2"/>
          </rPr>
          <t>Dwayne Winseck:</t>
        </r>
        <r>
          <rPr>
            <sz val="9"/>
            <color indexed="81"/>
            <rFont val="Calibri"/>
            <family val="2"/>
          </rPr>
          <t xml:space="preserve">
Annual Information Form 2004, p. 7.  17% of TVA Groupe revenues allocated to magazines based on proportion identified in subsequent Annual Information Reports and Presentations to investors and financial industry conferences. </t>
        </r>
      </text>
    </comment>
    <comment ref="G8" authorId="0">
      <text>
        <r>
          <rPr>
            <b/>
            <sz val="9"/>
            <color indexed="81"/>
            <rFont val="Calibri"/>
            <family val="2"/>
          </rPr>
          <t>Dwayne Winseck:</t>
        </r>
        <r>
          <rPr>
            <sz val="9"/>
            <color indexed="81"/>
            <rFont val="Calibri"/>
            <family val="2"/>
          </rPr>
          <t xml:space="preserve">
Annual Information Form 2004, p. 7.  17% of TVA Groupe revenues allocated to magazines based on proportion identified in subsequent Annual Information Reports and Presentations to investors and financial industry conferences. </t>
        </r>
      </text>
    </comment>
    <comment ref="H8" authorId="0">
      <text>
        <r>
          <rPr>
            <b/>
            <sz val="9"/>
            <color indexed="81"/>
            <rFont val="Calibri"/>
            <family val="2"/>
          </rPr>
          <t>Dwayne Winseck:</t>
        </r>
        <r>
          <rPr>
            <sz val="9"/>
            <color indexed="81"/>
            <rFont val="Calibri"/>
            <family val="2"/>
          </rPr>
          <t xml:space="preserve">
Annual Information Form 2008, p. A-1.</t>
        </r>
      </text>
    </comment>
    <comment ref="I8" authorId="0">
      <text>
        <r>
          <rPr>
            <b/>
            <sz val="9"/>
            <color indexed="81"/>
            <rFont val="Calibri"/>
            <family val="2"/>
          </rPr>
          <t>Dwayne Winseck:</t>
        </r>
        <r>
          <rPr>
            <sz val="9"/>
            <color indexed="81"/>
            <rFont val="Calibri"/>
            <family val="2"/>
          </rPr>
          <t xml:space="preserve">
Annual Information Form 2011, p. A-3.</t>
        </r>
      </text>
    </comment>
    <comment ref="J8" authorId="0">
      <text>
        <r>
          <rPr>
            <b/>
            <sz val="9"/>
            <color indexed="81"/>
            <rFont val="Calibri"/>
            <family val="2"/>
          </rPr>
          <t>Dwayne Winseck:</t>
        </r>
        <r>
          <rPr>
            <sz val="9"/>
            <color indexed="81"/>
            <rFont val="Calibri"/>
            <family val="2"/>
          </rPr>
          <t xml:space="preserve">
Annual Information Form 2012, p. A-3.</t>
        </r>
      </text>
    </comment>
    <comment ref="K8" authorId="0">
      <text>
        <r>
          <rPr>
            <b/>
            <sz val="9"/>
            <color indexed="81"/>
            <rFont val="Calibri"/>
            <family val="2"/>
          </rPr>
          <t>Dwayne Winseck:</t>
        </r>
        <r>
          <rPr>
            <sz val="9"/>
            <color indexed="81"/>
            <rFont val="Calibri"/>
            <family val="2"/>
          </rPr>
          <t xml:space="preserve">
Annual Information Form 2012, p. A-3.</t>
        </r>
      </text>
    </comment>
    <comment ref="K9" authorId="0">
      <text>
        <r>
          <rPr>
            <b/>
            <sz val="9"/>
            <color indexed="81"/>
            <rFont val="Calibri"/>
            <family val="2"/>
          </rPr>
          <t>Dwayne Winseck:</t>
        </r>
        <r>
          <rPr>
            <sz val="9"/>
            <color indexed="81"/>
            <rFont val="Calibri"/>
            <family val="2"/>
          </rPr>
          <t xml:space="preserve">
Revenues for 2010-2012 estimated based on Canada accounting for 12.6% of American Media's total revenue as reported in its Annual Report 2012, p. 22 - an amount equal to title by title tally for 2008.</t>
        </r>
      </text>
    </comment>
    <comment ref="K10" authorId="0">
      <text>
        <r>
          <rPr>
            <b/>
            <sz val="9"/>
            <color indexed="81"/>
            <rFont val="Calibri"/>
            <family val="2"/>
          </rPr>
          <t>Dwayne Winseck:</t>
        </r>
        <r>
          <rPr>
            <sz val="9"/>
            <color indexed="81"/>
            <rFont val="Calibri"/>
            <family val="2"/>
          </rPr>
          <t xml:space="preserve">
Revenues for 2010-2012 estimated based on Canada accounting for 1.6% of Bauer Media's total revenue as reported in the Facts and Figures section of its website - an amount equal to title by title tally for 2008.</t>
        </r>
      </text>
    </comment>
    <comment ref="K11" authorId="0">
      <text>
        <r>
          <rPr>
            <b/>
            <sz val="9"/>
            <color indexed="81"/>
            <rFont val="Calibri"/>
            <family val="2"/>
          </rPr>
          <t>Dwayne Winseck:</t>
        </r>
        <r>
          <rPr>
            <sz val="9"/>
            <color indexed="81"/>
            <rFont val="Calibri"/>
            <family val="2"/>
          </rPr>
          <t xml:space="preserve">
Hearst is privately traded company so it does not make its revenue figures available. Revenues for 2010-2012 estimated based on average rate of growth/decline of Time Warner, Bauer and Readers Digest revenues in Canada. Figures for 2008 and earlier based on an title by title tally of advertising, subscription and newstand revenue.</t>
        </r>
      </text>
    </comment>
    <comment ref="H14" authorId="0">
      <text>
        <r>
          <rPr>
            <b/>
            <sz val="9"/>
            <color indexed="81"/>
            <rFont val="Calibri"/>
            <family val="2"/>
          </rPr>
          <t>Dwayne Winseck:</t>
        </r>
        <r>
          <rPr>
            <sz val="9"/>
            <color indexed="81"/>
            <rFont val="Calibri"/>
            <family val="2"/>
          </rPr>
          <t xml:space="preserve">
Estimate based on CDN revenues being 1/10 of those in the U.S., as indicated in Bonnier Annual Report 2008, p. 2. For 2000 and 2004 same method is used, but estimates for US based on avg share of magazine revenues in 2008-2012 period, i.e. 36%. Historical revenue figures available in Annual Report 2008, p. 33.</t>
        </r>
      </text>
    </comment>
    <comment ref="I14" authorId="0">
      <text>
        <r>
          <rPr>
            <b/>
            <sz val="9"/>
            <color indexed="81"/>
            <rFont val="Calibri"/>
            <family val="2"/>
          </rPr>
          <t>Dwayne Winseck:</t>
        </r>
        <r>
          <rPr>
            <sz val="9"/>
            <color indexed="81"/>
            <rFont val="Calibri"/>
            <family val="2"/>
          </rPr>
          <t xml:space="preserve">
Estimate based on CDN revenues being 1/10 of those in the U.S., as indicated in Bonnier Annual Report 2010, p. 4.</t>
        </r>
      </text>
    </comment>
    <comment ref="K14" authorId="0">
      <text>
        <r>
          <rPr>
            <b/>
            <sz val="9"/>
            <color indexed="81"/>
            <rFont val="Calibri"/>
            <family val="2"/>
          </rPr>
          <t>Dwayne Winseck:</t>
        </r>
        <r>
          <rPr>
            <sz val="9"/>
            <color indexed="81"/>
            <rFont val="Calibri"/>
            <family val="2"/>
          </rPr>
          <t xml:space="preserve">
Estimate based on CDN revenues being 1/10 of those in the U.S., as indicated in Bonnier Annual Report 2012, p. 4.</t>
        </r>
      </text>
    </comment>
    <comment ref="K15" authorId="0">
      <text>
        <r>
          <rPr>
            <b/>
            <sz val="9"/>
            <color indexed="81"/>
            <rFont val="Calibri"/>
            <family val="2"/>
          </rPr>
          <t>Dwayne Winseck:</t>
        </r>
        <r>
          <rPr>
            <sz val="9"/>
            <color indexed="81"/>
            <rFont val="Calibri"/>
            <family val="2"/>
          </rPr>
          <t xml:space="preserve">
Readers Digest is not a publicly-traded company so it does not make its revenue figures available. Revenues for 2010-2012 estimated based on average rate of growth/decline of Time Warner, Bauer and Readers Digest revenues in Canada. Figures prior to that based on an title by title tally of advertising, subscription and newstand revenue.</t>
        </r>
      </text>
    </comment>
    <comment ref="K16" authorId="0">
      <text>
        <r>
          <rPr>
            <b/>
            <sz val="9"/>
            <color indexed="81"/>
            <rFont val="Calibri"/>
            <family val="2"/>
          </rPr>
          <t>Dwayne Winseck:</t>
        </r>
        <r>
          <rPr>
            <sz val="9"/>
            <color indexed="81"/>
            <rFont val="Calibri"/>
            <family val="2"/>
          </rPr>
          <t xml:space="preserve">
Conde Nast is privately traded company so it does not make its revenue figures available. Revenues for 2010-2012 estimated based on average rate of growth/decline of Time Warner, Bauer and Readers Digest revenues in Canada. Figures for 2008 and earlier based on an title by title tally of advertising, subscription and newstand revenue.</t>
        </r>
      </text>
    </comment>
    <comment ref="K18" authorId="0">
      <text>
        <r>
          <rPr>
            <b/>
            <sz val="9"/>
            <color indexed="81"/>
            <rFont val="Calibri"/>
            <family val="2"/>
          </rPr>
          <t>Dwayne Winseck:</t>
        </r>
        <r>
          <rPr>
            <sz val="9"/>
            <color indexed="81"/>
            <rFont val="Calibri"/>
            <family val="2"/>
          </rPr>
          <t xml:space="preserve">
Revenues for 2010-2012 estimated based on Canada accounting for 1.2% of Meredith's total revenue as reported in its Annual Report 2011 and 2012 - an amount equal to title by title tally of revenues for 2008.</t>
        </r>
      </text>
    </comment>
    <comment ref="K20" authorId="0">
      <text>
        <r>
          <rPr>
            <b/>
            <sz val="9"/>
            <color indexed="81"/>
            <rFont val="Calibri"/>
            <family val="2"/>
          </rPr>
          <t>Dwayne Winseck:</t>
        </r>
        <r>
          <rPr>
            <sz val="9"/>
            <color indexed="81"/>
            <rFont val="Calibri"/>
            <family val="2"/>
          </rPr>
          <t xml:space="preserve">
Wenner is a privately traded company so it does not make its revenue figures available. Revenues for 2010-2012 estimated based on average rate of growth/decline of Time Warner, Bauer and Readers Digest revenues in Canada. Figures for 2008 and earlier based on an title by title tally of advertising, subscription and newstand revenue.</t>
        </r>
      </text>
    </comment>
    <comment ref="K25" authorId="0">
      <text>
        <r>
          <rPr>
            <b/>
            <sz val="9"/>
            <color indexed="81"/>
            <rFont val="Calibri"/>
            <family val="2"/>
          </rPr>
          <t>Dwayne Winseck:</t>
        </r>
        <r>
          <rPr>
            <sz val="9"/>
            <color indexed="81"/>
            <rFont val="Calibri"/>
            <family val="2"/>
          </rPr>
          <t xml:space="preserve">
Buzz Media is a privately traded company so it does not make its revenue figures available. Revenues for 2010-2012 estimated based on average rate of growth/decline of Time Warner, Bauer and Readers Digest revenues in Canada. Figures for 2008 and earlier based on an title by title tally of advertising, subscription and newstand revenue.</t>
        </r>
      </text>
    </comment>
  </commentList>
</comments>
</file>

<file path=xl/sharedStrings.xml><?xml version="1.0" encoding="utf-8"?>
<sst xmlns="http://schemas.openxmlformats.org/spreadsheetml/2006/main" count="80" uniqueCount="41">
  <si>
    <t>Rogers</t>
  </si>
  <si>
    <t xml:space="preserve">   Maclean Hunter</t>
  </si>
  <si>
    <t>Rogers 1994</t>
  </si>
  <si>
    <t>Transcontinental</t>
  </si>
  <si>
    <t xml:space="preserve">   Telemedia</t>
  </si>
  <si>
    <t>Transcont.</t>
  </si>
  <si>
    <t>Time Warner*</t>
  </si>
  <si>
    <t>Quebecor</t>
  </si>
  <si>
    <t>American Media*</t>
  </si>
  <si>
    <t>Bauer Media*</t>
  </si>
  <si>
    <t>Hearst*</t>
  </si>
  <si>
    <t>St. Joseph Media</t>
  </si>
  <si>
    <t>Readers Digest*</t>
  </si>
  <si>
    <t>Bonnier</t>
  </si>
  <si>
    <t>National Geog.</t>
  </si>
  <si>
    <t>Conde Nast*</t>
  </si>
  <si>
    <t>House &amp; Home</t>
  </si>
  <si>
    <t>Meredith*</t>
  </si>
  <si>
    <t>Now</t>
  </si>
  <si>
    <t>Wenner*</t>
  </si>
  <si>
    <t>Air Canada (En Route)</t>
  </si>
  <si>
    <t>CableCos (Movie Entertainment)</t>
  </si>
  <si>
    <t>LCBO (Food &amp; Drink)</t>
  </si>
  <si>
    <t>CTVgm</t>
  </si>
  <si>
    <t>Buzz Media*</t>
  </si>
  <si>
    <t>CDN Geographic</t>
  </si>
  <si>
    <t>Znaimer (Zoomer)</t>
  </si>
  <si>
    <t>Q on Q Media</t>
  </si>
  <si>
    <t>Cottage Life</t>
  </si>
  <si>
    <t>DecorMag</t>
  </si>
  <si>
    <t>Grid (formerly Eye Weekly)</t>
    <phoneticPr fontId="2" type="noConversion"/>
  </si>
  <si>
    <t>Post Media (Fin. Post)</t>
  </si>
  <si>
    <t>Alpha*</t>
  </si>
  <si>
    <t>Cineplex (Famous)</t>
  </si>
  <si>
    <t>Pearson</t>
  </si>
  <si>
    <t>Total Revenues</t>
    <phoneticPr fontId="2" type="noConversion"/>
  </si>
  <si>
    <t>CR4</t>
    <phoneticPr fontId="2" type="noConversion"/>
  </si>
  <si>
    <t>HHI</t>
    <phoneticPr fontId="2" type="noConversion"/>
  </si>
  <si>
    <t>See Notes and Sources Appendix.</t>
  </si>
  <si>
    <t>Magazine Ownership Groups, Revenues ($Millions) and Concentration Levels, 1984-2012</t>
    <phoneticPr fontId="2" type="noConversion"/>
  </si>
  <si>
    <t>Magazine Publishing Groups, Market Shares (Percentage based on $) and Concentration Levels, 1984-2012 (1)</t>
    <phoneticPr fontId="2" type="noConversion"/>
  </si>
</sst>
</file>

<file path=xl/styles.xml><?xml version="1.0" encoding="utf-8"?>
<styleSheet xmlns="http://schemas.openxmlformats.org/spreadsheetml/2006/main">
  <numFmts count="7">
    <numFmt numFmtId="8" formatCode="&quot;$&quot;#,##0.00_);[Red]\(&quot;$&quot;#,##0.00\)"/>
    <numFmt numFmtId="43" formatCode="_(* #,##0.00_);_(* \(#,##0.00\);_(* &quot;-&quot;??_);_(@_)"/>
    <numFmt numFmtId="164" formatCode="0.0"/>
    <numFmt numFmtId="165" formatCode="#,##0.0"/>
    <numFmt numFmtId="166" formatCode="_(* #,##0.0_);_(* \(#,##0.0\);_(* &quot;-&quot;??_);_(@_)"/>
    <numFmt numFmtId="167" formatCode="_(* #,##0_);_(* \(#,##0\);_(* &quot;-&quot;??_);_(@_)"/>
    <numFmt numFmtId="168" formatCode="#,##0.0_);[Red]\(#,##0.0\)"/>
  </numFmts>
  <fonts count="13">
    <font>
      <sz val="12"/>
      <color indexed="8"/>
      <name val="Calibri"/>
      <family val="2"/>
    </font>
    <font>
      <b/>
      <sz val="12"/>
      <name val="Cambria"/>
    </font>
    <font>
      <sz val="8"/>
      <name val="Verdana"/>
    </font>
    <font>
      <sz val="12"/>
      <name val="Cambria"/>
    </font>
    <font>
      <sz val="12"/>
      <color indexed="8"/>
      <name val="Cambria"/>
    </font>
    <font>
      <i/>
      <sz val="12"/>
      <name val="Cambria"/>
    </font>
    <font>
      <sz val="12"/>
      <color indexed="53"/>
      <name val="Cambria"/>
    </font>
    <font>
      <b/>
      <sz val="12"/>
      <color indexed="8"/>
      <name val="Cambria"/>
    </font>
    <font>
      <b/>
      <sz val="9"/>
      <color indexed="81"/>
      <name val="Calibri"/>
      <family val="2"/>
    </font>
    <font>
      <sz val="9"/>
      <color indexed="81"/>
      <name val="Calibri"/>
      <family val="2"/>
    </font>
    <font>
      <b/>
      <sz val="12"/>
      <name val="Verdana"/>
    </font>
    <font>
      <b/>
      <sz val="12"/>
      <name val="Calibri"/>
    </font>
    <font>
      <sz val="12"/>
      <name val="Calibri"/>
    </font>
  </fonts>
  <fills count="2">
    <fill>
      <patternFill patternType="none"/>
    </fill>
    <fill>
      <patternFill patternType="gray125"/>
    </fill>
  </fills>
  <borders count="1">
    <border>
      <left/>
      <right/>
      <top/>
      <bottom/>
      <diagonal/>
    </border>
  </borders>
  <cellStyleXfs count="2">
    <xf numFmtId="0" fontId="0" fillId="0" borderId="0"/>
    <xf numFmtId="9" fontId="11" fillId="0" borderId="0" applyFont="0" applyFill="0" applyBorder="0" applyAlignment="0" applyProtection="0"/>
  </cellStyleXfs>
  <cellXfs count="31">
    <xf numFmtId="0" fontId="0" fillId="0" borderId="0" xfId="0"/>
    <xf numFmtId="0" fontId="1" fillId="0" borderId="0" xfId="0" applyFont="1"/>
    <xf numFmtId="0" fontId="3" fillId="0" borderId="0" xfId="0" applyFont="1"/>
    <xf numFmtId="0" fontId="4" fillId="0" borderId="0" xfId="0" applyFont="1"/>
    <xf numFmtId="0" fontId="3" fillId="0" borderId="0" xfId="0" applyFont="1" applyBorder="1"/>
    <xf numFmtId="0" fontId="1" fillId="0" borderId="0" xfId="0" applyFont="1" applyBorder="1"/>
    <xf numFmtId="0" fontId="1" fillId="0" borderId="0" xfId="0" applyFont="1" applyBorder="1" applyAlignment="1"/>
    <xf numFmtId="2" fontId="3" fillId="0" borderId="0" xfId="0" applyNumberFormat="1" applyFont="1" applyBorder="1"/>
    <xf numFmtId="2" fontId="3" fillId="0" borderId="0" xfId="0" applyNumberFormat="1" applyFont="1" applyBorder="1" applyProtection="1">
      <protection locked="0"/>
    </xf>
    <xf numFmtId="164" fontId="1" fillId="0" borderId="0" xfId="0" applyNumberFormat="1" applyFont="1" applyBorder="1"/>
    <xf numFmtId="164" fontId="3" fillId="0" borderId="0" xfId="0" applyNumberFormat="1" applyFont="1" applyBorder="1" applyProtection="1">
      <protection locked="0"/>
    </xf>
    <xf numFmtId="164" fontId="3" fillId="0" borderId="0" xfId="0" applyNumberFormat="1" applyFont="1"/>
    <xf numFmtId="164" fontId="3" fillId="0" borderId="0" xfId="0" applyNumberFormat="1" applyFont="1" applyBorder="1"/>
    <xf numFmtId="164" fontId="3" fillId="0" borderId="0" xfId="0" applyNumberFormat="1" applyFont="1" applyBorder="1" applyAlignment="1">
      <alignment horizontal="right"/>
    </xf>
    <xf numFmtId="164" fontId="3" fillId="0" borderId="0" xfId="1" applyNumberFormat="1" applyFont="1"/>
    <xf numFmtId="165" fontId="3" fillId="0" borderId="0" xfId="0" applyNumberFormat="1" applyFont="1" applyBorder="1"/>
    <xf numFmtId="0" fontId="5" fillId="0" borderId="0" xfId="0" applyFont="1"/>
    <xf numFmtId="3" fontId="3" fillId="0" borderId="0" xfId="0" applyNumberFormat="1" applyFont="1" applyBorder="1" applyProtection="1">
      <protection locked="0"/>
    </xf>
    <xf numFmtId="0" fontId="6" fillId="0" borderId="0" xfId="0" applyFont="1"/>
    <xf numFmtId="3" fontId="1" fillId="0" borderId="0" xfId="0" applyNumberFormat="1" applyFont="1" applyBorder="1"/>
    <xf numFmtId="164" fontId="5" fillId="0" borderId="0" xfId="0" applyNumberFormat="1" applyFont="1"/>
    <xf numFmtId="165" fontId="1" fillId="0" borderId="0" xfId="0" applyNumberFormat="1" applyFont="1" applyBorder="1"/>
    <xf numFmtId="3" fontId="1" fillId="0" borderId="0" xfId="0" applyNumberFormat="1" applyFont="1"/>
    <xf numFmtId="0" fontId="7" fillId="0" borderId="0" xfId="0" applyFont="1"/>
    <xf numFmtId="164" fontId="1" fillId="0" borderId="0" xfId="0" applyNumberFormat="1" applyFont="1"/>
    <xf numFmtId="0" fontId="4" fillId="0" borderId="0" xfId="0" applyFont="1" applyBorder="1"/>
    <xf numFmtId="0" fontId="11" fillId="0" borderId="0" xfId="0" applyFont="1"/>
    <xf numFmtId="0" fontId="12" fillId="0" borderId="0" xfId="0" applyFont="1"/>
    <xf numFmtId="0" fontId="12" fillId="0" borderId="0" xfId="0" applyFont="1" applyBorder="1"/>
    <xf numFmtId="0" fontId="10" fillId="0" borderId="0" xfId="0" applyFont="1" applyAlignment="1"/>
    <xf numFmtId="0" fontId="0" fillId="0" borderId="0" xfId="0" applyAlignment="1"/>
  </cellXfs>
  <cellStyles count="2">
    <cellStyle name="Normal" xfId="0" builtinId="0"/>
    <cellStyle name="Percent" xfId="1"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41"/>
  <sheetViews>
    <sheetView workbookViewId="0">
      <selection activeCell="C32" sqref="C32"/>
    </sheetView>
  </sheetViews>
  <sheetFormatPr baseColWidth="10" defaultColWidth="9.5" defaultRowHeight="15"/>
  <cols>
    <col min="1" max="1" width="27.1640625" style="3" customWidth="1"/>
    <col min="2" max="6" width="9.5" style="3"/>
    <col min="7" max="7" width="11.5" style="3" customWidth="1"/>
    <col min="8" max="10" width="9.5" style="3"/>
  </cols>
  <sheetData>
    <row r="1" spans="1:11" s="3" customFormat="1">
      <c r="A1" s="1" t="s">
        <v>39</v>
      </c>
      <c r="B1" s="1"/>
      <c r="C1" s="1"/>
      <c r="D1" s="1"/>
      <c r="E1" s="1"/>
      <c r="F1" s="1"/>
      <c r="G1" s="1"/>
      <c r="H1" s="1"/>
      <c r="I1" s="1"/>
      <c r="J1" s="1"/>
      <c r="K1" s="2"/>
    </row>
    <row r="2" spans="1:11" s="3" customFormat="1">
      <c r="A2" s="4"/>
      <c r="B2" s="5">
        <v>1984</v>
      </c>
      <c r="C2" s="5">
        <v>1988</v>
      </c>
      <c r="D2" s="5">
        <v>1992</v>
      </c>
      <c r="E2" s="5">
        <v>1996</v>
      </c>
      <c r="F2" s="5">
        <v>2000</v>
      </c>
      <c r="G2" s="6">
        <v>2004</v>
      </c>
      <c r="H2" s="2">
        <v>2008</v>
      </c>
      <c r="I2" s="2">
        <v>2010</v>
      </c>
      <c r="J2" s="2">
        <v>2011</v>
      </c>
      <c r="K2" s="2">
        <v>2012</v>
      </c>
    </row>
    <row r="3" spans="1:11" s="3" customFormat="1">
      <c r="A3" s="4" t="s">
        <v>0</v>
      </c>
      <c r="B3" s="4"/>
      <c r="C3" s="4"/>
      <c r="D3" s="7"/>
      <c r="E3" s="4">
        <v>131.6</v>
      </c>
      <c r="F3" s="4">
        <v>151.5</v>
      </c>
      <c r="G3" s="4">
        <v>222.9</v>
      </c>
      <c r="H3" s="2">
        <v>167.6</v>
      </c>
      <c r="I3" s="2">
        <v>163.5</v>
      </c>
      <c r="J3" s="2">
        <v>180.3</v>
      </c>
      <c r="K3" s="2">
        <v>181.4</v>
      </c>
    </row>
    <row r="4" spans="1:11" s="3" customFormat="1">
      <c r="A4" s="4" t="s">
        <v>1</v>
      </c>
      <c r="B4" s="4">
        <v>98.1</v>
      </c>
      <c r="C4" s="4">
        <v>135</v>
      </c>
      <c r="D4" s="7">
        <v>114</v>
      </c>
      <c r="E4" s="4" t="s">
        <v>2</v>
      </c>
      <c r="F4" s="4"/>
      <c r="G4" s="4"/>
      <c r="H4" s="2"/>
      <c r="I4" s="2"/>
      <c r="J4" s="2"/>
      <c r="K4" s="2"/>
    </row>
    <row r="5" spans="1:11" s="3" customFormat="1">
      <c r="A5" s="4" t="s">
        <v>3</v>
      </c>
      <c r="B5" s="4">
        <v>11.8</v>
      </c>
      <c r="C5" s="4">
        <v>19.600000000000001</v>
      </c>
      <c r="D5" s="8">
        <v>32.799999999999997</v>
      </c>
      <c r="E5" s="4">
        <v>43.6</v>
      </c>
      <c r="F5" s="4">
        <v>122.5</v>
      </c>
      <c r="G5" s="4">
        <v>129.80000000000001</v>
      </c>
      <c r="H5" s="2">
        <v>148.80000000000001</v>
      </c>
      <c r="I5" s="2">
        <v>152.1</v>
      </c>
      <c r="J5" s="2">
        <v>153.1</v>
      </c>
      <c r="K5" s="2">
        <v>146.5</v>
      </c>
    </row>
    <row r="6" spans="1:11" s="3" customFormat="1">
      <c r="A6" s="4" t="s">
        <v>4</v>
      </c>
      <c r="B6" s="4">
        <v>102</v>
      </c>
      <c r="C6" s="4">
        <v>126.4</v>
      </c>
      <c r="D6" s="7">
        <v>176.6</v>
      </c>
      <c r="E6" s="4">
        <v>140.5</v>
      </c>
      <c r="F6" s="4" t="s">
        <v>5</v>
      </c>
      <c r="G6" s="4"/>
      <c r="H6" s="2"/>
      <c r="I6" s="2"/>
      <c r="J6" s="2"/>
      <c r="K6" s="2"/>
    </row>
    <row r="7" spans="1:11" s="3" customFormat="1">
      <c r="A7" s="4" t="s">
        <v>6</v>
      </c>
      <c r="B7" s="4">
        <v>13.4</v>
      </c>
      <c r="C7" s="4">
        <v>16.8</v>
      </c>
      <c r="D7" s="9">
        <v>21</v>
      </c>
      <c r="E7" s="10">
        <v>56.5</v>
      </c>
      <c r="F7" s="10">
        <v>72.2</v>
      </c>
      <c r="G7" s="10">
        <v>120.8</v>
      </c>
      <c r="H7" s="2">
        <v>113.3</v>
      </c>
      <c r="I7" s="11">
        <v>91.9</v>
      </c>
      <c r="J7" s="2">
        <v>91.9</v>
      </c>
      <c r="K7" s="2">
        <v>85.9</v>
      </c>
    </row>
    <row r="8" spans="1:11" s="3" customFormat="1">
      <c r="A8" s="4" t="s">
        <v>7</v>
      </c>
      <c r="B8" s="4">
        <v>36</v>
      </c>
      <c r="C8" s="4">
        <v>53</v>
      </c>
      <c r="D8" s="12">
        <v>45.4</v>
      </c>
      <c r="E8" s="4">
        <v>45.6</v>
      </c>
      <c r="F8" s="4">
        <v>60.8</v>
      </c>
      <c r="G8" s="4">
        <v>60.8</v>
      </c>
      <c r="H8" s="2">
        <v>78.599999999999994</v>
      </c>
      <c r="I8" s="13">
        <v>75</v>
      </c>
      <c r="J8" s="2">
        <v>70.599999999999994</v>
      </c>
      <c r="K8" s="2">
        <v>67.400000000000006</v>
      </c>
    </row>
    <row r="9" spans="1:11" s="3" customFormat="1">
      <c r="A9" s="4" t="s">
        <v>8</v>
      </c>
      <c r="B9" s="4">
        <v>48.7</v>
      </c>
      <c r="C9" s="4">
        <v>60.9</v>
      </c>
      <c r="D9" s="12">
        <v>76.099999999999994</v>
      </c>
      <c r="E9" s="10">
        <v>72.7</v>
      </c>
      <c r="F9" s="10">
        <v>70.599999999999994</v>
      </c>
      <c r="G9" s="10">
        <v>68.400000000000006</v>
      </c>
      <c r="H9" s="2">
        <v>67.2</v>
      </c>
      <c r="I9" s="2">
        <v>51.9</v>
      </c>
      <c r="J9" s="2">
        <v>50.1</v>
      </c>
      <c r="K9" s="14">
        <v>48.7</v>
      </c>
    </row>
    <row r="10" spans="1:11" s="3" customFormat="1">
      <c r="A10" s="4" t="s">
        <v>9</v>
      </c>
      <c r="B10" s="15">
        <v>13.7</v>
      </c>
      <c r="C10" s="4">
        <v>15.9</v>
      </c>
      <c r="D10" s="12">
        <v>18.8</v>
      </c>
      <c r="E10" s="10">
        <v>21.6</v>
      </c>
      <c r="F10" s="10">
        <v>30.6</v>
      </c>
      <c r="G10" s="10">
        <v>39.6</v>
      </c>
      <c r="H10" s="2">
        <v>57.1</v>
      </c>
      <c r="I10" s="2">
        <v>45.3</v>
      </c>
      <c r="J10" s="2">
        <v>42.8</v>
      </c>
      <c r="K10" s="2">
        <v>45.7</v>
      </c>
    </row>
    <row r="11" spans="1:11" s="3" customFormat="1">
      <c r="A11" s="4" t="s">
        <v>10</v>
      </c>
      <c r="B11" s="4">
        <v>13.2</v>
      </c>
      <c r="C11" s="4">
        <v>15.5</v>
      </c>
      <c r="D11" s="12">
        <v>18.3</v>
      </c>
      <c r="E11" s="10">
        <v>21.2</v>
      </c>
      <c r="F11" s="10">
        <v>38.9</v>
      </c>
      <c r="G11" s="10">
        <v>56.6</v>
      </c>
      <c r="H11" s="2">
        <v>61.9</v>
      </c>
      <c r="I11" s="11">
        <v>50.436254485488753</v>
      </c>
      <c r="J11" s="11">
        <v>43.408273335889604</v>
      </c>
      <c r="K11" s="11">
        <v>44.026339837154431</v>
      </c>
    </row>
    <row r="12" spans="1:11" s="3" customFormat="1">
      <c r="A12" s="4" t="s">
        <v>11</v>
      </c>
      <c r="B12" s="4">
        <v>5.8</v>
      </c>
      <c r="C12" s="4">
        <v>7.2</v>
      </c>
      <c r="D12" s="12">
        <v>9.1</v>
      </c>
      <c r="E12" s="4">
        <v>21.4</v>
      </c>
      <c r="F12" s="4">
        <v>22.3</v>
      </c>
      <c r="G12" s="4">
        <v>23.1</v>
      </c>
      <c r="H12" s="2">
        <v>28.5</v>
      </c>
      <c r="I12" s="2">
        <v>29.8</v>
      </c>
      <c r="J12" s="2">
        <v>32.1</v>
      </c>
      <c r="K12" s="16">
        <v>32.1</v>
      </c>
    </row>
    <row r="13" spans="1:11" s="18" customFormat="1">
      <c r="A13" s="4" t="s">
        <v>12</v>
      </c>
      <c r="B13" s="17">
        <v>25</v>
      </c>
      <c r="C13" s="4">
        <v>31.2</v>
      </c>
      <c r="D13" s="12">
        <v>39</v>
      </c>
      <c r="E13" s="10">
        <v>45.3</v>
      </c>
      <c r="F13" s="10">
        <v>52.2</v>
      </c>
      <c r="G13" s="10">
        <v>51.4</v>
      </c>
      <c r="H13" s="2">
        <v>50.6</v>
      </c>
      <c r="I13" s="2">
        <v>36.799999999999997</v>
      </c>
      <c r="J13" s="2">
        <v>30.8</v>
      </c>
      <c r="K13" s="16">
        <v>30.8</v>
      </c>
    </row>
    <row r="14" spans="1:11" s="3" customFormat="1">
      <c r="A14" s="4" t="s">
        <v>13</v>
      </c>
      <c r="B14" s="4"/>
      <c r="C14" s="4"/>
      <c r="D14" s="12"/>
      <c r="E14" s="4">
        <v>4.8</v>
      </c>
      <c r="F14" s="4">
        <v>15.3</v>
      </c>
      <c r="G14" s="4">
        <v>21.1</v>
      </c>
      <c r="H14" s="2">
        <v>34.799999999999997</v>
      </c>
      <c r="I14" s="2">
        <v>31.7</v>
      </c>
      <c r="J14" s="2">
        <v>27.9</v>
      </c>
      <c r="K14" s="2">
        <v>28.7</v>
      </c>
    </row>
    <row r="15" spans="1:11" s="3" customFormat="1">
      <c r="A15" s="4" t="s">
        <v>14</v>
      </c>
      <c r="B15" s="4">
        <v>12.3</v>
      </c>
      <c r="C15" s="4">
        <v>15.4</v>
      </c>
      <c r="D15" s="12">
        <v>19.2</v>
      </c>
      <c r="E15" s="10">
        <v>22.8</v>
      </c>
      <c r="F15" s="10">
        <v>28.7</v>
      </c>
      <c r="G15" s="10">
        <v>34.4</v>
      </c>
      <c r="H15" s="2">
        <v>40.1</v>
      </c>
      <c r="I15" s="11">
        <v>32.673567122263314</v>
      </c>
      <c r="J15" s="11">
        <v>28.120706959114266</v>
      </c>
      <c r="K15" s="11">
        <v>28.521102220838333</v>
      </c>
    </row>
    <row r="16" spans="1:11" s="3" customFormat="1">
      <c r="A16" s="4" t="s">
        <v>15</v>
      </c>
      <c r="B16" s="4">
        <v>7.6</v>
      </c>
      <c r="C16" s="4">
        <v>9.5</v>
      </c>
      <c r="D16" s="12">
        <v>11.9</v>
      </c>
      <c r="E16" s="10">
        <v>17.600000000000001</v>
      </c>
      <c r="F16" s="10">
        <v>24.5</v>
      </c>
      <c r="G16" s="10">
        <v>31.4</v>
      </c>
      <c r="H16" s="2">
        <v>35.5</v>
      </c>
      <c r="I16" s="12">
        <v>28.92547712818822</v>
      </c>
      <c r="J16" s="12">
        <v>24.89489020071213</v>
      </c>
      <c r="K16" s="12">
        <v>25.249354833909248</v>
      </c>
    </row>
    <row r="17" spans="1:11" s="3" customFormat="1">
      <c r="A17" s="4" t="s">
        <v>16</v>
      </c>
      <c r="B17" s="4">
        <v>1.6</v>
      </c>
      <c r="C17" s="4">
        <v>2</v>
      </c>
      <c r="D17" s="12">
        <v>2.5</v>
      </c>
      <c r="E17" s="19">
        <v>12</v>
      </c>
      <c r="F17" s="19">
        <v>15</v>
      </c>
      <c r="G17" s="19">
        <v>17.899999999999999</v>
      </c>
      <c r="H17" s="2">
        <v>23.3</v>
      </c>
      <c r="I17" s="2">
        <v>27.3</v>
      </c>
      <c r="J17" s="2">
        <v>24.8</v>
      </c>
      <c r="K17" s="16">
        <v>24.8</v>
      </c>
    </row>
    <row r="18" spans="1:11" s="3" customFormat="1">
      <c r="A18" s="4" t="s">
        <v>17</v>
      </c>
      <c r="B18" s="4">
        <v>4.5</v>
      </c>
      <c r="C18" s="4">
        <v>5.6</v>
      </c>
      <c r="D18" s="12">
        <v>7</v>
      </c>
      <c r="E18" s="4">
        <v>8.6999999999999993</v>
      </c>
      <c r="F18" s="4">
        <v>16.3</v>
      </c>
      <c r="G18" s="4">
        <v>23.8</v>
      </c>
      <c r="H18" s="2">
        <v>23.2</v>
      </c>
      <c r="I18" s="2">
        <v>16.5</v>
      </c>
      <c r="J18" s="2">
        <v>17.2</v>
      </c>
      <c r="K18" s="2">
        <v>16.5</v>
      </c>
    </row>
    <row r="19" spans="1:11" s="3" customFormat="1">
      <c r="A19" s="4" t="s">
        <v>18</v>
      </c>
      <c r="B19" s="4"/>
      <c r="C19" s="4"/>
      <c r="D19" s="12"/>
      <c r="E19" s="4"/>
      <c r="F19" s="4"/>
      <c r="G19" s="4">
        <v>9.9</v>
      </c>
      <c r="H19" s="2">
        <v>11.7</v>
      </c>
      <c r="I19" s="2">
        <v>12.4</v>
      </c>
      <c r="J19" s="2">
        <v>12.1</v>
      </c>
      <c r="K19" s="16">
        <v>12.1</v>
      </c>
    </row>
    <row r="20" spans="1:11" s="3" customFormat="1">
      <c r="A20" s="4" t="s">
        <v>19</v>
      </c>
      <c r="B20" s="4">
        <v>2.2000000000000002</v>
      </c>
      <c r="C20" s="4">
        <v>2.7</v>
      </c>
      <c r="D20" s="12">
        <v>3.4</v>
      </c>
      <c r="E20" s="15">
        <v>2.4</v>
      </c>
      <c r="F20" s="15">
        <v>16</v>
      </c>
      <c r="G20" s="15">
        <v>16.7</v>
      </c>
      <c r="H20" s="2">
        <v>16.3</v>
      </c>
      <c r="I20" s="11">
        <v>13.281275413787831</v>
      </c>
      <c r="J20" s="11">
        <v>11.430611556946698</v>
      </c>
      <c r="K20" s="11">
        <v>11.593365740640021</v>
      </c>
    </row>
    <row r="21" spans="1:11" s="3" customFormat="1">
      <c r="A21" s="4" t="s">
        <v>20</v>
      </c>
      <c r="B21" s="4"/>
      <c r="C21" s="4"/>
      <c r="D21" s="12"/>
      <c r="E21" s="4"/>
      <c r="F21" s="4"/>
      <c r="G21" s="4">
        <v>6.6</v>
      </c>
      <c r="H21" s="2">
        <v>12.3</v>
      </c>
      <c r="I21" s="2">
        <v>11.9</v>
      </c>
      <c r="J21" s="2">
        <v>11.2</v>
      </c>
      <c r="K21" s="16">
        <v>11.2</v>
      </c>
    </row>
    <row r="22" spans="1:11" s="3" customFormat="1">
      <c r="A22" s="4" t="s">
        <v>21</v>
      </c>
      <c r="B22" s="4"/>
      <c r="C22" s="4"/>
      <c r="D22" s="12"/>
      <c r="E22" s="4"/>
      <c r="F22" s="4"/>
      <c r="G22" s="4">
        <v>9.3000000000000007</v>
      </c>
      <c r="H22" s="2">
        <v>10.7</v>
      </c>
      <c r="I22" s="2">
        <v>9.8000000000000007</v>
      </c>
      <c r="J22" s="11">
        <f>I22*0.98</f>
        <v>9.604000000000001</v>
      </c>
      <c r="K22" s="20">
        <f>J22*0.98</f>
        <v>9.4119200000000003</v>
      </c>
    </row>
    <row r="23" spans="1:11" s="3" customFormat="1">
      <c r="A23" s="4" t="s">
        <v>22</v>
      </c>
      <c r="B23" s="4"/>
      <c r="C23" s="4"/>
      <c r="D23" s="12"/>
      <c r="E23" s="4"/>
      <c r="F23" s="4"/>
      <c r="G23" s="4">
        <v>5.6</v>
      </c>
      <c r="H23" s="2">
        <v>6.3</v>
      </c>
      <c r="I23" s="2">
        <v>8.3000000000000007</v>
      </c>
      <c r="J23" s="2">
        <v>9.1</v>
      </c>
      <c r="K23" s="16">
        <v>9.1</v>
      </c>
    </row>
    <row r="24" spans="1:11" s="3" customFormat="1">
      <c r="A24" s="4" t="s">
        <v>23</v>
      </c>
      <c r="B24" s="4"/>
      <c r="C24" s="4"/>
      <c r="D24" s="12"/>
      <c r="E24" s="4"/>
      <c r="F24" s="4"/>
      <c r="G24" s="4">
        <v>7.5</v>
      </c>
      <c r="H24" s="2">
        <v>7.7</v>
      </c>
      <c r="I24" s="2">
        <v>7.3</v>
      </c>
      <c r="J24" s="2">
        <v>6.7</v>
      </c>
      <c r="K24" s="16">
        <v>6.7</v>
      </c>
    </row>
    <row r="25" spans="1:11" s="3" customFormat="1">
      <c r="A25" s="4" t="s">
        <v>24</v>
      </c>
      <c r="B25" s="4"/>
      <c r="C25" s="4"/>
      <c r="D25" s="12"/>
      <c r="E25" s="4"/>
      <c r="F25" s="4"/>
      <c r="G25" s="4">
        <v>3.6</v>
      </c>
      <c r="H25" s="2">
        <v>8</v>
      </c>
      <c r="I25" s="11">
        <v>6.5184173810001624</v>
      </c>
      <c r="J25" s="11">
        <v>5.6101161015689307</v>
      </c>
      <c r="K25" s="20">
        <v>5.6899954555288446</v>
      </c>
    </row>
    <row r="26" spans="1:11" s="3" customFormat="1">
      <c r="A26" s="4" t="s">
        <v>25</v>
      </c>
      <c r="B26" s="4"/>
      <c r="C26" s="4"/>
      <c r="D26" s="12"/>
      <c r="E26" s="4"/>
      <c r="F26" s="4"/>
      <c r="G26" s="4">
        <v>8.5</v>
      </c>
      <c r="H26" s="2">
        <v>9.1999999999999993</v>
      </c>
      <c r="I26" s="2">
        <v>7.5</v>
      </c>
      <c r="J26" s="2">
        <v>5.4</v>
      </c>
      <c r="K26" s="16">
        <v>5.4</v>
      </c>
    </row>
    <row r="27" spans="1:11" s="3" customFormat="1">
      <c r="A27" s="4" t="s">
        <v>26</v>
      </c>
      <c r="B27" s="4"/>
      <c r="C27" s="4"/>
      <c r="D27" s="12"/>
      <c r="E27" s="4"/>
      <c r="F27" s="4"/>
      <c r="G27" s="4"/>
      <c r="H27" s="2">
        <v>7.1</v>
      </c>
      <c r="I27" s="2">
        <v>6.8</v>
      </c>
      <c r="J27" s="2">
        <v>5</v>
      </c>
      <c r="K27" s="16">
        <v>5</v>
      </c>
    </row>
    <row r="28" spans="1:11" s="3" customFormat="1">
      <c r="A28" s="4" t="s">
        <v>27</v>
      </c>
      <c r="B28" s="5"/>
      <c r="C28" s="19"/>
      <c r="D28" s="12"/>
      <c r="E28" s="4"/>
      <c r="F28" s="4"/>
      <c r="G28" s="4">
        <v>9.9</v>
      </c>
      <c r="H28" s="2">
        <v>3.3</v>
      </c>
      <c r="I28" s="2">
        <v>4.9000000000000004</v>
      </c>
      <c r="J28" s="2">
        <v>4.4000000000000004</v>
      </c>
      <c r="K28" s="16">
        <v>4.4000000000000004</v>
      </c>
    </row>
    <row r="29" spans="1:11" s="3" customFormat="1">
      <c r="A29" s="4" t="s">
        <v>28</v>
      </c>
      <c r="B29" s="4"/>
      <c r="C29" s="4"/>
      <c r="D29" s="12"/>
      <c r="E29" s="4"/>
      <c r="F29" s="4"/>
      <c r="G29" s="4">
        <v>3.6</v>
      </c>
      <c r="H29" s="2">
        <v>5.4</v>
      </c>
      <c r="I29" s="2">
        <v>5.4</v>
      </c>
      <c r="J29" s="2">
        <v>4.3</v>
      </c>
      <c r="K29" s="16">
        <v>4.3</v>
      </c>
    </row>
    <row r="30" spans="1:11" s="3" customFormat="1">
      <c r="A30" s="4" t="s">
        <v>29</v>
      </c>
      <c r="B30" s="4"/>
      <c r="C30" s="4"/>
      <c r="D30" s="12"/>
      <c r="E30" s="4"/>
      <c r="F30" s="4"/>
      <c r="G30" s="4">
        <v>3.6</v>
      </c>
      <c r="H30" s="2">
        <v>3.5</v>
      </c>
      <c r="I30" s="2">
        <v>4.3</v>
      </c>
      <c r="J30" s="2">
        <v>4.0999999999999996</v>
      </c>
      <c r="K30" s="16">
        <v>4.0999999999999996</v>
      </c>
    </row>
    <row r="31" spans="1:11" s="3" customFormat="1">
      <c r="A31" s="4" t="s">
        <v>30</v>
      </c>
      <c r="B31" s="4"/>
      <c r="C31" s="4"/>
      <c r="D31" s="12"/>
      <c r="E31" s="4"/>
      <c r="F31" s="4"/>
      <c r="G31" s="4">
        <v>4.9000000000000004</v>
      </c>
      <c r="H31" s="2">
        <v>5.5</v>
      </c>
      <c r="I31" s="2">
        <v>4.5999999999999996</v>
      </c>
      <c r="J31" s="2">
        <v>3.7</v>
      </c>
      <c r="K31" s="16">
        <v>3.7</v>
      </c>
    </row>
    <row r="32" spans="1:11" s="3" customFormat="1">
      <c r="A32" s="4" t="s">
        <v>31</v>
      </c>
      <c r="B32" s="4"/>
      <c r="C32" s="4"/>
      <c r="D32" s="12"/>
      <c r="E32" s="4"/>
      <c r="F32" s="4"/>
      <c r="G32" s="4">
        <v>6.2</v>
      </c>
      <c r="H32" s="2">
        <v>6.4</v>
      </c>
      <c r="I32" s="2">
        <v>3.6</v>
      </c>
      <c r="J32" s="2">
        <v>3.4</v>
      </c>
      <c r="K32" s="16">
        <v>3.4</v>
      </c>
    </row>
    <row r="33" spans="1:11" s="3" customFormat="1">
      <c r="A33" s="4" t="s">
        <v>32</v>
      </c>
      <c r="B33" s="4"/>
      <c r="C33" s="4"/>
      <c r="D33" s="12"/>
      <c r="E33" s="4"/>
      <c r="F33" s="4"/>
      <c r="G33" s="4">
        <v>6.7</v>
      </c>
      <c r="H33" s="2">
        <v>5.5</v>
      </c>
      <c r="I33" s="2"/>
      <c r="J33" s="2"/>
      <c r="K33" s="16"/>
    </row>
    <row r="34" spans="1:11" s="3" customFormat="1">
      <c r="A34" s="4" t="s">
        <v>33</v>
      </c>
      <c r="B34" s="4"/>
      <c r="C34" s="4"/>
      <c r="D34" s="12"/>
      <c r="E34" s="4"/>
      <c r="F34" s="4"/>
      <c r="G34" s="4"/>
      <c r="H34" s="2">
        <v>5.4</v>
      </c>
      <c r="I34" s="2">
        <v>3.8</v>
      </c>
      <c r="J34" s="2">
        <v>2.6</v>
      </c>
      <c r="K34" s="16">
        <v>2.6</v>
      </c>
    </row>
    <row r="35" spans="1:11" s="3" customFormat="1">
      <c r="A35" s="4" t="s">
        <v>34</v>
      </c>
      <c r="B35" s="4"/>
      <c r="C35" s="4"/>
      <c r="D35" s="12"/>
      <c r="E35" s="4"/>
      <c r="F35" s="4"/>
      <c r="G35" s="4">
        <v>2.8</v>
      </c>
      <c r="H35" s="2">
        <v>3.7</v>
      </c>
      <c r="I35" s="2"/>
      <c r="J35" s="2"/>
      <c r="K35" s="16"/>
    </row>
    <row r="36" spans="1:11" s="23" customFormat="1">
      <c r="A36" s="5" t="s">
        <v>35</v>
      </c>
      <c r="B36" s="4">
        <v>771</v>
      </c>
      <c r="C36" s="4">
        <v>775</v>
      </c>
      <c r="D36" s="21">
        <v>993.9</v>
      </c>
      <c r="E36" s="5">
        <v>1011.2</v>
      </c>
      <c r="F36" s="5">
        <v>1300</v>
      </c>
      <c r="G36" s="19">
        <v>1847.1</v>
      </c>
      <c r="H36" s="1">
        <v>2394</v>
      </c>
      <c r="I36" s="5">
        <v>2135</v>
      </c>
      <c r="J36" s="19">
        <v>2088</v>
      </c>
      <c r="K36" s="22">
        <v>2100</v>
      </c>
    </row>
    <row r="37" spans="1:11" s="23" customFormat="1">
      <c r="A37" s="5" t="s">
        <v>36</v>
      </c>
      <c r="B37" s="12">
        <v>36.939040207522694</v>
      </c>
      <c r="C37" s="12">
        <v>48.425806451612907</v>
      </c>
      <c r="D37" s="9">
        <v>41.46292383539592</v>
      </c>
      <c r="E37" s="9">
        <v>39.685522151898731</v>
      </c>
      <c r="F37" s="9">
        <v>32.061538461538461</v>
      </c>
      <c r="G37" s="9">
        <v>29.337881002652807</v>
      </c>
      <c r="H37" s="24">
        <v>21.232247284878866</v>
      </c>
      <c r="I37" s="9">
        <v>22.599531615925056</v>
      </c>
      <c r="J37" s="9">
        <v>23.75</v>
      </c>
      <c r="K37" s="24">
        <v>22.914285714285715</v>
      </c>
    </row>
    <row r="38" spans="1:11" s="23" customFormat="1">
      <c r="A38" s="5" t="s">
        <v>37</v>
      </c>
      <c r="B38" s="12">
        <v>425.12831382761271</v>
      </c>
      <c r="C38" s="12">
        <v>720.49232049947989</v>
      </c>
      <c r="D38" s="9">
        <v>571.16668038856324</v>
      </c>
      <c r="E38" s="9">
        <v>528.30773579579602</v>
      </c>
      <c r="F38" s="9">
        <v>354.60804733727809</v>
      </c>
      <c r="G38" s="9">
        <v>298.57695242288617</v>
      </c>
      <c r="H38" s="24">
        <v>157.99375562269648</v>
      </c>
      <c r="I38" s="9">
        <v>178.91975494847222</v>
      </c>
      <c r="J38" s="9">
        <v>186.88000946844582</v>
      </c>
      <c r="K38" s="24">
        <v>178.27453514739224</v>
      </c>
    </row>
    <row r="39" spans="1:11" s="23" customFormat="1">
      <c r="A39" s="4"/>
      <c r="B39" s="4"/>
      <c r="C39" s="4"/>
      <c r="D39" s="4"/>
      <c r="E39" s="4"/>
      <c r="F39" s="4"/>
      <c r="G39" s="25"/>
    </row>
    <row r="41" spans="1:11">
      <c r="A41" s="3" t="s">
        <v>38</v>
      </c>
    </row>
  </sheetData>
  <phoneticPr fontId="2"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41"/>
  <sheetViews>
    <sheetView tabSelected="1" workbookViewId="0">
      <selection activeCell="N12" sqref="N12"/>
    </sheetView>
  </sheetViews>
  <sheetFormatPr baseColWidth="10" defaultRowHeight="15"/>
  <cols>
    <col min="1" max="6" width="10.83203125" style="27"/>
    <col min="7" max="7" width="11.5" style="27" customWidth="1"/>
    <col min="8" max="16384" width="10.83203125" style="27"/>
  </cols>
  <sheetData>
    <row r="1" spans="1:13" s="26" customFormat="1" ht="16">
      <c r="A1" s="29" t="s">
        <v>40</v>
      </c>
      <c r="B1" s="29"/>
      <c r="C1" s="29"/>
      <c r="D1" s="29"/>
      <c r="E1" s="29"/>
      <c r="F1" s="29"/>
      <c r="G1" s="29"/>
      <c r="H1" s="29"/>
      <c r="I1" s="30"/>
      <c r="J1" s="30"/>
      <c r="K1" s="30"/>
      <c r="L1" s="30"/>
      <c r="M1" s="30"/>
    </row>
    <row r="2" spans="1:13">
      <c r="A2" s="4"/>
      <c r="B2" s="5">
        <v>1984</v>
      </c>
      <c r="C2" s="5">
        <v>1988</v>
      </c>
      <c r="D2" s="5">
        <v>1992</v>
      </c>
      <c r="E2" s="5">
        <v>1996</v>
      </c>
      <c r="F2" s="5">
        <v>2000</v>
      </c>
      <c r="G2" s="6">
        <v>2004</v>
      </c>
      <c r="H2" s="2">
        <v>2008</v>
      </c>
      <c r="I2" s="2">
        <v>2010</v>
      </c>
      <c r="J2" s="2">
        <v>2011</v>
      </c>
      <c r="K2" s="2">
        <v>2012</v>
      </c>
    </row>
    <row r="3" spans="1:13">
      <c r="A3" s="4" t="s">
        <v>0</v>
      </c>
      <c r="B3" s="12"/>
      <c r="C3" s="12"/>
      <c r="D3" s="12"/>
      <c r="E3" s="12">
        <f>131.6/E36*100</f>
        <v>13.014240506329115</v>
      </c>
      <c r="F3" s="12">
        <f>151.5/F36*100</f>
        <v>11.653846153846153</v>
      </c>
      <c r="G3" s="12">
        <f>222.9/G36*100</f>
        <v>12.067565372746468</v>
      </c>
      <c r="H3" s="11">
        <f>167.6/H36*100</f>
        <v>7.0008354218880537</v>
      </c>
      <c r="I3" s="11">
        <f>163.5/I36*100</f>
        <v>7.6580796252927392</v>
      </c>
      <c r="J3" s="11">
        <f>180.3/J36*100</f>
        <v>8.6350574712643677</v>
      </c>
      <c r="K3" s="11">
        <f>181.4/K36*100</f>
        <v>8.6380952380952376</v>
      </c>
    </row>
    <row r="4" spans="1:13">
      <c r="A4" s="4" t="s">
        <v>1</v>
      </c>
      <c r="B4" s="12">
        <f>98.1/B36*100</f>
        <v>12.72373540856031</v>
      </c>
      <c r="C4" s="12">
        <f>135/C36*100</f>
        <v>17.419354838709676</v>
      </c>
      <c r="D4" s="12">
        <f>114/D36*100</f>
        <v>11.469966797464535</v>
      </c>
      <c r="E4" s="12" t="s">
        <v>2</v>
      </c>
      <c r="F4" s="12"/>
      <c r="G4" s="12"/>
      <c r="H4" s="11"/>
      <c r="I4" s="11"/>
      <c r="J4" s="11"/>
      <c r="K4" s="11"/>
    </row>
    <row r="5" spans="1:13">
      <c r="A5" s="4" t="s">
        <v>3</v>
      </c>
      <c r="B5" s="12">
        <f>11.8/B36*100</f>
        <v>1.5304798962386512</v>
      </c>
      <c r="C5" s="12">
        <f>19.6/C36*100</f>
        <v>2.5290322580645164</v>
      </c>
      <c r="D5" s="10">
        <f>32.8/D36*100</f>
        <v>3.3001307978669883</v>
      </c>
      <c r="E5" s="12">
        <f>43.6/E36*100</f>
        <v>4.3117088607594933</v>
      </c>
      <c r="F5" s="12">
        <f>122.5/F36*100</f>
        <v>9.4230769230769234</v>
      </c>
      <c r="G5" s="12">
        <f>129.8/G36*100</f>
        <v>7.0272318769963729</v>
      </c>
      <c r="H5" s="11">
        <f>148.8/H36*100</f>
        <v>6.215538847117795</v>
      </c>
      <c r="I5" s="11">
        <f>152.1/I36*100</f>
        <v>7.1241217798594842</v>
      </c>
      <c r="J5" s="11">
        <f>153.1/J36*100</f>
        <v>7.3323754789272026</v>
      </c>
      <c r="K5" s="11">
        <f>146.5/K36*100</f>
        <v>6.9761904761904763</v>
      </c>
    </row>
    <row r="6" spans="1:13">
      <c r="A6" s="4" t="s">
        <v>4</v>
      </c>
      <c r="B6" s="12">
        <f>102/B36*100</f>
        <v>13.229571984435799</v>
      </c>
      <c r="C6" s="12">
        <f>126.4/C36*100</f>
        <v>16.309677419354841</v>
      </c>
      <c r="D6" s="12">
        <f>176.6/D36*100</f>
        <v>17.768387161686285</v>
      </c>
      <c r="E6" s="12">
        <f>140.5/E36*100</f>
        <v>13.894382911392405</v>
      </c>
      <c r="F6" s="12" t="s">
        <v>5</v>
      </c>
      <c r="G6" s="12"/>
      <c r="H6" s="11"/>
      <c r="I6" s="11"/>
      <c r="J6" s="11"/>
      <c r="K6" s="11"/>
    </row>
    <row r="7" spans="1:13">
      <c r="A7" s="4" t="s">
        <v>6</v>
      </c>
      <c r="B7" s="12">
        <f>13.4/B36*100</f>
        <v>1.7380025940337225</v>
      </c>
      <c r="C7" s="12">
        <f>16.8/C36*100</f>
        <v>2.1677419354838712</v>
      </c>
      <c r="D7" s="9">
        <f>21/D36*100</f>
        <v>2.1128886205855721</v>
      </c>
      <c r="E7" s="10">
        <f>56.5/E36*100</f>
        <v>5.5874208860759493</v>
      </c>
      <c r="F7" s="10">
        <f>72.2/F36*100</f>
        <v>5.5538461538461545</v>
      </c>
      <c r="G7" s="10">
        <f>120.8/G36*100</f>
        <v>6.5399815927670399</v>
      </c>
      <c r="H7" s="11">
        <f>113.3/H36*100</f>
        <v>4.7326649958228906</v>
      </c>
      <c r="I7" s="11">
        <f>91.9/I36*100</f>
        <v>4.3044496487119446</v>
      </c>
      <c r="J7" s="11">
        <f>91.9/J36*100</f>
        <v>4.4013409961685825</v>
      </c>
      <c r="K7" s="11">
        <f>85.9/K36*100</f>
        <v>4.090476190476191</v>
      </c>
    </row>
    <row r="8" spans="1:13">
      <c r="A8" s="4" t="s">
        <v>7</v>
      </c>
      <c r="B8" s="12">
        <f>36/B36*100</f>
        <v>4.6692607003891053</v>
      </c>
      <c r="C8" s="12">
        <f>53/C36*100</f>
        <v>6.838709677419355</v>
      </c>
      <c r="D8" s="12">
        <f>45.4/D36*100</f>
        <v>4.5678639702183315</v>
      </c>
      <c r="E8" s="12">
        <f>45.6/E36*100</f>
        <v>4.5094936708860756</v>
      </c>
      <c r="F8" s="12">
        <f>60.8/F36*100</f>
        <v>4.6769230769230763</v>
      </c>
      <c r="G8" s="12">
        <f>60.8/G36*100</f>
        <v>3.2916463645714904</v>
      </c>
      <c r="H8" s="11">
        <f>78.6/H36*100</f>
        <v>3.2832080200501252</v>
      </c>
      <c r="I8" s="13">
        <f>75/I36*100</f>
        <v>3.5128805620608898</v>
      </c>
      <c r="J8" s="11">
        <f>70.6/J36*100</f>
        <v>3.3812260536398462</v>
      </c>
      <c r="K8" s="11">
        <f>67.4/K36*100</f>
        <v>3.2095238095238101</v>
      </c>
    </row>
    <row r="9" spans="1:13">
      <c r="A9" s="4" t="s">
        <v>8</v>
      </c>
      <c r="B9" s="12">
        <f>48.7/B36*100</f>
        <v>6.3164721141374836</v>
      </c>
      <c r="C9" s="12">
        <f>60.9/C36*100</f>
        <v>7.8580645161290317</v>
      </c>
      <c r="D9" s="12">
        <f>76.1/D36*100</f>
        <v>7.6567059060267635</v>
      </c>
      <c r="E9" s="10">
        <f>72.7/E36*100</f>
        <v>7.1894778481012649</v>
      </c>
      <c r="F9" s="10">
        <f>70.6/F36*100</f>
        <v>5.4307692307692301</v>
      </c>
      <c r="G9" s="10">
        <f>68.4/G36*100</f>
        <v>3.7031021601429273</v>
      </c>
      <c r="H9" s="11">
        <f>67.2/H36*100</f>
        <v>2.807017543859649</v>
      </c>
      <c r="I9" s="11">
        <f>51.9/I36*100</f>
        <v>2.4309133489461359</v>
      </c>
      <c r="J9" s="11">
        <f>50.1/J36*100</f>
        <v>2.3994252873563218</v>
      </c>
      <c r="K9" s="14">
        <f>48.7/K36*100</f>
        <v>2.3190476190476192</v>
      </c>
    </row>
    <row r="10" spans="1:13">
      <c r="A10" s="4" t="s">
        <v>9</v>
      </c>
      <c r="B10" s="12">
        <f>13.7/B36*100</f>
        <v>1.7769130998702982</v>
      </c>
      <c r="C10" s="12">
        <f>15.9/C36*100</f>
        <v>2.0516129032258066</v>
      </c>
      <c r="D10" s="12">
        <f>18.8/D36*100</f>
        <v>1.891538384143274</v>
      </c>
      <c r="E10" s="10">
        <f>21.6/E36*100</f>
        <v>2.1360759493670884</v>
      </c>
      <c r="F10" s="10">
        <f>30.6/F36*100</f>
        <v>2.3538461538461539</v>
      </c>
      <c r="G10" s="10">
        <f>39.6/G36*100</f>
        <v>2.1439012506090633</v>
      </c>
      <c r="H10" s="11">
        <f>57.1/H36*100</f>
        <v>2.3851294903926483</v>
      </c>
      <c r="I10" s="11">
        <f>45.3/I36*100</f>
        <v>2.1217798594847777</v>
      </c>
      <c r="J10" s="11">
        <f>42.8/J36*100</f>
        <v>2.0498084291187735</v>
      </c>
      <c r="K10" s="11">
        <f>45.7/K36*100</f>
        <v>2.1761904761904765</v>
      </c>
    </row>
    <row r="11" spans="1:13">
      <c r="A11" s="4" t="s">
        <v>10</v>
      </c>
      <c r="B11" s="12">
        <f>13.2/B36*100</f>
        <v>1.7120622568093384</v>
      </c>
      <c r="C11" s="12">
        <f>15.5/C36*100</f>
        <v>2</v>
      </c>
      <c r="D11" s="12">
        <f>18.3/D36*100</f>
        <v>1.8412315122245699</v>
      </c>
      <c r="E11" s="10">
        <f>21.2/E36*100</f>
        <v>2.096518987341772</v>
      </c>
      <c r="F11" s="10">
        <f>38.9/F36*100</f>
        <v>2.9923076923076919</v>
      </c>
      <c r="G11" s="10">
        <f>56.6/G36*100</f>
        <v>3.0642628985978022</v>
      </c>
      <c r="H11" s="11">
        <f>61.9/H36*100</f>
        <v>2.5856307435254804</v>
      </c>
      <c r="I11" s="11">
        <f>50.4/I36*100</f>
        <v>2.360655737704918</v>
      </c>
      <c r="J11" s="11">
        <f>43.4/J36*100</f>
        <v>2.078544061302682</v>
      </c>
      <c r="K11" s="11">
        <f>44/K36*100</f>
        <v>2.0952380952380953</v>
      </c>
    </row>
    <row r="12" spans="1:13">
      <c r="A12" s="4" t="s">
        <v>11</v>
      </c>
      <c r="B12" s="12">
        <f>5.8/B36*100</f>
        <v>0.75226977950713358</v>
      </c>
      <c r="C12" s="12">
        <f>7.2/C36*100</f>
        <v>0.92903225806451628</v>
      </c>
      <c r="D12" s="12">
        <f>9.1/D36*100</f>
        <v>0.91558506892041458</v>
      </c>
      <c r="E12" s="12">
        <f>21.4/E36*100</f>
        <v>2.1162974683544302</v>
      </c>
      <c r="F12" s="12">
        <f>22.3/F36*100</f>
        <v>1.7153846153846155</v>
      </c>
      <c r="G12" s="12">
        <f>23.1/G36*100</f>
        <v>1.2506090628552868</v>
      </c>
      <c r="H12" s="11">
        <f>28.5/H36*100</f>
        <v>1.1904761904761905</v>
      </c>
      <c r="I12" s="11">
        <f>29.8/I36*100</f>
        <v>1.3957845433255269</v>
      </c>
      <c r="J12" s="11">
        <f>32.1/J36*100</f>
        <v>1.5373563218390804</v>
      </c>
      <c r="K12" s="20">
        <f>32.1/K36*100</f>
        <v>1.5285714285714287</v>
      </c>
    </row>
    <row r="13" spans="1:13">
      <c r="A13" s="4" t="s">
        <v>12</v>
      </c>
      <c r="B13" s="10">
        <f>25/B36*100</f>
        <v>3.2425421530479901</v>
      </c>
      <c r="C13" s="12">
        <f>31.2/C36*100</f>
        <v>4.0258064516129028</v>
      </c>
      <c r="D13" s="12">
        <f>39/D36*100</f>
        <v>3.9239360096589198</v>
      </c>
      <c r="E13" s="10">
        <f>45.3/E36*100</f>
        <v>4.479825949367088</v>
      </c>
      <c r="F13" s="10">
        <f>52.2/F36*100</f>
        <v>4.0153846153846162</v>
      </c>
      <c r="G13" s="10">
        <f>51.4/G36*100</f>
        <v>2.7827405121541875</v>
      </c>
      <c r="H13" s="11">
        <f>50.6/H36*100</f>
        <v>2.1136173767752715</v>
      </c>
      <c r="I13" s="11">
        <f>36.8/I36*100</f>
        <v>1.7236533957845432</v>
      </c>
      <c r="J13" s="11">
        <f>30.8/J36*100</f>
        <v>1.475095785440613</v>
      </c>
      <c r="K13" s="20">
        <f>30.8/K36*100</f>
        <v>1.4666666666666666</v>
      </c>
    </row>
    <row r="14" spans="1:13">
      <c r="A14" s="4" t="s">
        <v>13</v>
      </c>
      <c r="B14" s="12"/>
      <c r="C14" s="12"/>
      <c r="D14" s="12"/>
      <c r="E14" s="12">
        <f>4.8/E36*100</f>
        <v>0.47468354430379739</v>
      </c>
      <c r="F14" s="12">
        <f>15.3/F36*100</f>
        <v>1.176923076923077</v>
      </c>
      <c r="G14" s="12">
        <f>21.1/G36*100</f>
        <v>1.1423312219154351</v>
      </c>
      <c r="H14" s="11">
        <f>34.8/H36*100</f>
        <v>1.4536340852130325</v>
      </c>
      <c r="I14" s="11">
        <f>31.7/I36*100</f>
        <v>1.4847775175644027</v>
      </c>
      <c r="J14" s="11">
        <f>27.9/J36*100</f>
        <v>1.336206896551724</v>
      </c>
      <c r="K14" s="11">
        <f>28.7/K36*100</f>
        <v>1.3666666666666665</v>
      </c>
    </row>
    <row r="15" spans="1:13">
      <c r="A15" s="4" t="s">
        <v>14</v>
      </c>
      <c r="B15" s="12">
        <f>12.3/B36*100</f>
        <v>1.5953307392996112</v>
      </c>
      <c r="C15" s="12">
        <f>15.4/C36*100</f>
        <v>1.9870967741935486</v>
      </c>
      <c r="D15" s="12">
        <f>19.2/D36*100</f>
        <v>1.9317838816782371</v>
      </c>
      <c r="E15" s="10">
        <f>22.8/E36*100</f>
        <v>2.2547468354430378</v>
      </c>
      <c r="F15" s="10">
        <f>28.7/F36*100</f>
        <v>2.2076923076923078</v>
      </c>
      <c r="G15" s="10">
        <f>34.4/G36*100</f>
        <v>1.8623788641654486</v>
      </c>
      <c r="H15" s="11">
        <f>40.1/H36*100</f>
        <v>1.6750208855472015</v>
      </c>
      <c r="I15" s="11">
        <f>32.7/I36*100</f>
        <v>1.5316159250585482</v>
      </c>
      <c r="J15" s="11">
        <f>28.1/J36*100</f>
        <v>1.3457854406130267</v>
      </c>
      <c r="K15" s="11">
        <f>28.5/K36*100</f>
        <v>1.3571428571428572</v>
      </c>
    </row>
    <row r="16" spans="1:13">
      <c r="A16" s="4" t="s">
        <v>15</v>
      </c>
      <c r="B16" s="12">
        <f>7.6/B36*100</f>
        <v>0.98573281452658879</v>
      </c>
      <c r="C16" s="12">
        <f>9.5/C36*100</f>
        <v>1.2258064516129032</v>
      </c>
      <c r="D16" s="12">
        <f>11.9/D36*100</f>
        <v>1.1973035516651576</v>
      </c>
      <c r="E16" s="10">
        <f>17.6/E36*100</f>
        <v>1.740506329113924</v>
      </c>
      <c r="F16" s="10">
        <f>24.5/F36*100</f>
        <v>1.8846153846153846</v>
      </c>
      <c r="G16" s="10">
        <f>31.4/G36*100</f>
        <v>1.6999621027556711</v>
      </c>
      <c r="H16" s="11">
        <f>35.5/H36*100</f>
        <v>1.4828738512949038</v>
      </c>
      <c r="I16" s="12">
        <f>28.9/I36*100</f>
        <v>1.3536299765807962</v>
      </c>
      <c r="J16" s="12">
        <f>24.9/J36*100</f>
        <v>1.1925287356321839</v>
      </c>
      <c r="K16" s="12">
        <f>25.2/K36*100</f>
        <v>1.2</v>
      </c>
    </row>
    <row r="17" spans="1:11">
      <c r="A17" s="4" t="s">
        <v>16</v>
      </c>
      <c r="B17" s="12">
        <f>1.6/B36*100</f>
        <v>0.20752269779507135</v>
      </c>
      <c r="C17" s="12">
        <f>2/C36*100</f>
        <v>0.25806451612903225</v>
      </c>
      <c r="D17" s="12">
        <f>2.5/D36*100</f>
        <v>0.2515343595935205</v>
      </c>
      <c r="E17" s="9">
        <f>12/E36*100</f>
        <v>1.1867088607594936</v>
      </c>
      <c r="F17" s="9">
        <f>15/F36*100</f>
        <v>1.153846153846154</v>
      </c>
      <c r="G17" s="9">
        <f>17.9/G36*100</f>
        <v>0.96908667641167223</v>
      </c>
      <c r="H17" s="11">
        <f>23.3/H36*100</f>
        <v>0.97326649958228917</v>
      </c>
      <c r="I17" s="11">
        <f>27.3/I36*100</f>
        <v>1.2786885245901638</v>
      </c>
      <c r="J17" s="11">
        <f>24.8/J36*100</f>
        <v>1.1877394636015326</v>
      </c>
      <c r="K17" s="20">
        <f>24.8/K36*100</f>
        <v>1.180952380952381</v>
      </c>
    </row>
    <row r="18" spans="1:11">
      <c r="A18" s="4" t="s">
        <v>17</v>
      </c>
      <c r="B18" s="12">
        <f>4.5/B36*100</f>
        <v>0.58365758754863817</v>
      </c>
      <c r="C18" s="12">
        <f>5.6/C36*100</f>
        <v>0.72258064516129028</v>
      </c>
      <c r="D18" s="12">
        <f>7/D36*100</f>
        <v>0.70429620686185734</v>
      </c>
      <c r="E18" s="12">
        <f>8.7/E36*100</f>
        <v>0.86036392405063278</v>
      </c>
      <c r="F18" s="12">
        <f>16.3/F36*100</f>
        <v>1.2538461538461538</v>
      </c>
      <c r="G18" s="12">
        <f>23.8/G36*100</f>
        <v>1.2885063071842349</v>
      </c>
      <c r="H18" s="11">
        <f>23.2/H36*100</f>
        <v>0.96908939014202167</v>
      </c>
      <c r="I18" s="11">
        <f>16.5/I36*100</f>
        <v>0.77283372365339587</v>
      </c>
      <c r="J18" s="11">
        <f>17.2/J36*100</f>
        <v>0.82375478927203072</v>
      </c>
      <c r="K18" s="11">
        <f>16.5/K36*100</f>
        <v>0.78571428571428581</v>
      </c>
    </row>
    <row r="19" spans="1:11">
      <c r="A19" s="4" t="s">
        <v>18</v>
      </c>
      <c r="B19" s="12"/>
      <c r="C19" s="12"/>
      <c r="D19" s="12"/>
      <c r="E19" s="12"/>
      <c r="F19" s="12"/>
      <c r="G19" s="12">
        <f>9.9/G36*100</f>
        <v>0.53597531265226583</v>
      </c>
      <c r="H19" s="11">
        <f>11.7/H36*100</f>
        <v>0.48872180451127822</v>
      </c>
      <c r="I19" s="11">
        <f>12.4/I36*100</f>
        <v>0.58079625292740045</v>
      </c>
      <c r="J19" s="11">
        <f>12.1/J36*100</f>
        <v>0.57950191570881227</v>
      </c>
      <c r="K19" s="20">
        <f>12.1/K36*100</f>
        <v>0.57619047619047614</v>
      </c>
    </row>
    <row r="20" spans="1:11">
      <c r="A20" s="4" t="s">
        <v>19</v>
      </c>
      <c r="B20" s="12">
        <f>2.2/B36*100</f>
        <v>0.28534370946822313</v>
      </c>
      <c r="C20" s="12">
        <f>2.7/C36*100</f>
        <v>0.34838709677419355</v>
      </c>
      <c r="D20" s="12">
        <f>3.4/D36*100</f>
        <v>0.34208672904718784</v>
      </c>
      <c r="E20" s="12">
        <f>2.4/E36*100</f>
        <v>0.23734177215189869</v>
      </c>
      <c r="F20" s="12">
        <f>16/F36*100</f>
        <v>1.2307692307692308</v>
      </c>
      <c r="G20" s="12">
        <f>16.7/G36*100</f>
        <v>0.90411997184776138</v>
      </c>
      <c r="H20" s="11">
        <f>16.3/H36*100</f>
        <v>0.68086883876357562</v>
      </c>
      <c r="I20" s="11">
        <f>13.3/I36*100</f>
        <v>0.62295081967213117</v>
      </c>
      <c r="J20" s="11">
        <f>11.4/J36*100</f>
        <v>0.54597701149425282</v>
      </c>
      <c r="K20" s="11">
        <f>11.6/K36*100</f>
        <v>0.55238095238095242</v>
      </c>
    </row>
    <row r="21" spans="1:11">
      <c r="A21" s="4" t="s">
        <v>20</v>
      </c>
      <c r="B21" s="12"/>
      <c r="C21" s="12"/>
      <c r="D21" s="12"/>
      <c r="E21" s="12"/>
      <c r="F21" s="12"/>
      <c r="G21" s="12">
        <f>6.6/G36*100</f>
        <v>0.35731687510151044</v>
      </c>
      <c r="H21" s="11">
        <f>12.3/H36*100</f>
        <v>0.51378446115288223</v>
      </c>
      <c r="I21" s="11">
        <f>11.9/I36*100</f>
        <v>0.55737704918032793</v>
      </c>
      <c r="J21" s="11">
        <f>11.2/J36*100</f>
        <v>0.53639846743295017</v>
      </c>
      <c r="K21" s="20">
        <f>11.2/K36*100</f>
        <v>0.53333333333333333</v>
      </c>
    </row>
    <row r="22" spans="1:11">
      <c r="A22" s="4" t="s">
        <v>21</v>
      </c>
      <c r="B22" s="12"/>
      <c r="C22" s="12"/>
      <c r="D22" s="12"/>
      <c r="E22" s="12"/>
      <c r="F22" s="12"/>
      <c r="G22" s="12">
        <f>9.3/G36*100</f>
        <v>0.5034919603703103</v>
      </c>
      <c r="H22" s="11">
        <f>10.7/H36*100</f>
        <v>0.44695071010860488</v>
      </c>
      <c r="I22" s="11">
        <f>9.8/I36*100</f>
        <v>0.45901639344262296</v>
      </c>
      <c r="J22" s="11">
        <f>9.6/J36*100</f>
        <v>0.45977011494252873</v>
      </c>
      <c r="K22" s="20">
        <f>9.4/K36*100</f>
        <v>0.44761904761904764</v>
      </c>
    </row>
    <row r="23" spans="1:11">
      <c r="A23" s="4" t="s">
        <v>22</v>
      </c>
      <c r="B23" s="12"/>
      <c r="C23" s="12"/>
      <c r="D23" s="12"/>
      <c r="E23" s="12"/>
      <c r="F23" s="12"/>
      <c r="G23" s="12">
        <f>5.6/G36*100</f>
        <v>0.30317795463158465</v>
      </c>
      <c r="H23" s="11">
        <f>6.3/H36*100</f>
        <v>0.26315789473684209</v>
      </c>
      <c r="I23" s="11">
        <f>8.3/I36*100</f>
        <v>0.3887587822014052</v>
      </c>
      <c r="J23" s="11">
        <f>9.1/J36*100</f>
        <v>0.43582375478927199</v>
      </c>
      <c r="K23" s="20">
        <f>9.1/K36*100</f>
        <v>0.43333333333333329</v>
      </c>
    </row>
    <row r="24" spans="1:11">
      <c r="A24" s="4" t="s">
        <v>23</v>
      </c>
      <c r="B24" s="12"/>
      <c r="C24" s="12"/>
      <c r="D24" s="12"/>
      <c r="E24" s="12"/>
      <c r="F24" s="12"/>
      <c r="G24" s="12">
        <f>7.5/G36*100</f>
        <v>0.40604190352444375</v>
      </c>
      <c r="H24" s="11">
        <f>7.7/H36*100</f>
        <v>0.32163742690058483</v>
      </c>
      <c r="I24" s="11">
        <f>7.3/I36*100</f>
        <v>0.34192037470725994</v>
      </c>
      <c r="J24" s="11">
        <f>6.7/J36*100</f>
        <v>0.32088122605363983</v>
      </c>
      <c r="K24" s="20">
        <f>6.7/K36*100</f>
        <v>0.31904761904761908</v>
      </c>
    </row>
    <row r="25" spans="1:11">
      <c r="A25" s="4" t="s">
        <v>24</v>
      </c>
      <c r="B25" s="12"/>
      <c r="C25" s="12"/>
      <c r="D25" s="12"/>
      <c r="E25" s="12"/>
      <c r="F25" s="12"/>
      <c r="G25" s="12">
        <f>3.6/G36*100</f>
        <v>0.19490011369173299</v>
      </c>
      <c r="H25" s="11">
        <f>8/H36*100</f>
        <v>0.33416875522138678</v>
      </c>
      <c r="I25" s="11">
        <f>6.5/I36*100</f>
        <v>0.3044496487119438</v>
      </c>
      <c r="J25" s="11">
        <f>5.6/J36*100</f>
        <v>0.26819923371647508</v>
      </c>
      <c r="K25" s="20">
        <f>5.7/K36*100</f>
        <v>0.27142857142857141</v>
      </c>
    </row>
    <row r="26" spans="1:11">
      <c r="A26" s="4" t="s">
        <v>25</v>
      </c>
      <c r="B26" s="12"/>
      <c r="C26" s="12"/>
      <c r="D26" s="12"/>
      <c r="E26" s="12"/>
      <c r="F26" s="12"/>
      <c r="G26" s="12">
        <f>8.5/G36*100</f>
        <v>0.46018082399436955</v>
      </c>
      <c r="H26" s="11">
        <f>9.2/H36*100</f>
        <v>0.3842940685045948</v>
      </c>
      <c r="I26" s="11">
        <f>7.5/I36*100</f>
        <v>0.35128805620608899</v>
      </c>
      <c r="J26" s="11">
        <f>5.4/J36*100</f>
        <v>0.25862068965517243</v>
      </c>
      <c r="K26" s="20">
        <f>5.4/K36*100</f>
        <v>0.25714285714285717</v>
      </c>
    </row>
    <row r="27" spans="1:11">
      <c r="A27" s="4" t="s">
        <v>26</v>
      </c>
      <c r="B27" s="12"/>
      <c r="C27" s="12"/>
      <c r="D27" s="12"/>
      <c r="E27" s="12"/>
      <c r="F27" s="12"/>
      <c r="G27" s="12"/>
      <c r="H27" s="11">
        <f>7.1/H36*100</f>
        <v>0.29657477025898077</v>
      </c>
      <c r="I27" s="11">
        <f>6.8/I36*100</f>
        <v>0.31850117096018737</v>
      </c>
      <c r="J27" s="11">
        <f>5/J36*100</f>
        <v>0.23946360153256704</v>
      </c>
      <c r="K27" s="20">
        <f>5/K36*100</f>
        <v>0.23809523809523811</v>
      </c>
    </row>
    <row r="28" spans="1:11">
      <c r="A28" s="4" t="s">
        <v>27</v>
      </c>
      <c r="B28" s="9"/>
      <c r="C28" s="9"/>
      <c r="D28" s="12"/>
      <c r="E28" s="12"/>
      <c r="F28" s="12"/>
      <c r="G28" s="12">
        <f>9.9/G36*100</f>
        <v>0.53597531265226583</v>
      </c>
      <c r="H28" s="11">
        <f>3.3/H36*100</f>
        <v>0.13784461152882205</v>
      </c>
      <c r="I28" s="11">
        <f>4.9/I36*100</f>
        <v>0.22950819672131148</v>
      </c>
      <c r="J28" s="11">
        <f>4.4/J36*100</f>
        <v>0.21072796934865903</v>
      </c>
      <c r="K28" s="20">
        <f>4.4/K36*100</f>
        <v>0.20952380952380953</v>
      </c>
    </row>
    <row r="29" spans="1:11">
      <c r="A29" s="4" t="s">
        <v>28</v>
      </c>
      <c r="B29" s="12"/>
      <c r="C29" s="12"/>
      <c r="D29" s="12"/>
      <c r="E29" s="12"/>
      <c r="F29" s="12"/>
      <c r="G29" s="12">
        <f>3.6/G36*100</f>
        <v>0.19490011369173299</v>
      </c>
      <c r="H29" s="11">
        <f>5.4/H36*100</f>
        <v>0.22556390977443611</v>
      </c>
      <c r="I29" s="11">
        <f>5.4/I36*100</f>
        <v>0.25292740046838408</v>
      </c>
      <c r="J29" s="11">
        <f>4.3/J36*100</f>
        <v>0.20593869731800768</v>
      </c>
      <c r="K29" s="20">
        <f>4.3/K36*100</f>
        <v>0.20476190476190476</v>
      </c>
    </row>
    <row r="30" spans="1:11">
      <c r="A30" s="4" t="s">
        <v>29</v>
      </c>
      <c r="B30" s="12"/>
      <c r="C30" s="12"/>
      <c r="D30" s="12"/>
      <c r="E30" s="12"/>
      <c r="F30" s="12"/>
      <c r="G30" s="12">
        <f>3.6/G36*100</f>
        <v>0.19490011369173299</v>
      </c>
      <c r="H30" s="11">
        <f>3.5/H36*100</f>
        <v>0.14619883040935672</v>
      </c>
      <c r="I30" s="11">
        <f>4.3/I36*100</f>
        <v>0.20140515222482436</v>
      </c>
      <c r="J30" s="11">
        <f>4.1/J36*100</f>
        <v>0.19636015325670497</v>
      </c>
      <c r="K30" s="20">
        <f>4.1/K36*100</f>
        <v>0.19523809523809521</v>
      </c>
    </row>
    <row r="31" spans="1:11">
      <c r="A31" s="4" t="s">
        <v>30</v>
      </c>
      <c r="B31" s="12"/>
      <c r="C31" s="12"/>
      <c r="D31" s="12"/>
      <c r="E31" s="12"/>
      <c r="F31" s="12"/>
      <c r="G31" s="12">
        <f>4.9/G36*100</f>
        <v>0.26528071030263661</v>
      </c>
      <c r="H31" s="11">
        <f>5.5/H36*100</f>
        <v>0.22974101921470341</v>
      </c>
      <c r="I31" s="11">
        <f>4.6/I36*100</f>
        <v>0.21545667447306791</v>
      </c>
      <c r="J31" s="11">
        <f>3.7/J36*100</f>
        <v>0.17720306513409964</v>
      </c>
      <c r="K31" s="20">
        <f>3.7/K36*100</f>
        <v>0.1761904761904762</v>
      </c>
    </row>
    <row r="32" spans="1:11">
      <c r="A32" s="4" t="s">
        <v>31</v>
      </c>
      <c r="B32" s="12"/>
      <c r="C32" s="12"/>
      <c r="D32" s="12"/>
      <c r="E32" s="12"/>
      <c r="F32" s="12"/>
      <c r="G32" s="12">
        <f>6.2/G36*100</f>
        <v>0.33566130691354018</v>
      </c>
      <c r="H32" s="11">
        <f>6.4/H36*100</f>
        <v>0.26733500417710943</v>
      </c>
      <c r="I32" s="11">
        <f>3.6/I36*100</f>
        <v>0.16861826697892271</v>
      </c>
      <c r="J32" s="11">
        <f>3.4/J36*100</f>
        <v>0.16283524904214558</v>
      </c>
      <c r="K32" s="20">
        <f>3.4/K36*100</f>
        <v>0.16190476190476188</v>
      </c>
    </row>
    <row r="33" spans="1:11">
      <c r="A33" s="4" t="s">
        <v>32</v>
      </c>
      <c r="B33" s="12"/>
      <c r="C33" s="12"/>
      <c r="D33" s="12"/>
      <c r="E33" s="12"/>
      <c r="F33" s="12"/>
      <c r="G33" s="12">
        <f>6.7/G36*100</f>
        <v>0.36273076714850311</v>
      </c>
      <c r="H33" s="11">
        <f>5.5/H36*100</f>
        <v>0.22974101921470341</v>
      </c>
      <c r="I33" s="11"/>
      <c r="J33" s="11"/>
      <c r="K33" s="20"/>
    </row>
    <row r="34" spans="1:11">
      <c r="A34" s="4" t="s">
        <v>33</v>
      </c>
      <c r="B34" s="12"/>
      <c r="C34" s="12"/>
      <c r="D34" s="12"/>
      <c r="E34" s="12"/>
      <c r="F34" s="12"/>
      <c r="G34" s="12"/>
      <c r="H34" s="11">
        <f>5.4/H36*100</f>
        <v>0.22556390977443611</v>
      </c>
      <c r="I34" s="11">
        <f>3.8/I36*100</f>
        <v>0.17798594847775176</v>
      </c>
      <c r="J34" s="11">
        <f>2.6/J36*100</f>
        <v>0.12452107279693488</v>
      </c>
      <c r="K34" s="20">
        <f>2.6/K36*100</f>
        <v>0.12380952380952383</v>
      </c>
    </row>
    <row r="35" spans="1:11">
      <c r="A35" s="4" t="s">
        <v>34</v>
      </c>
      <c r="B35" s="12"/>
      <c r="C35" s="12"/>
      <c r="D35" s="12"/>
      <c r="E35" s="12"/>
      <c r="F35" s="12"/>
      <c r="G35" s="12">
        <f>2.8/G36*100</f>
        <v>0.15158897731579232</v>
      </c>
      <c r="H35" s="11">
        <f>3.7/H36*100</f>
        <v>0.15455304928989139</v>
      </c>
      <c r="I35" s="11"/>
      <c r="J35" s="11"/>
      <c r="K35" s="20"/>
    </row>
    <row r="36" spans="1:11">
      <c r="A36" s="5" t="s">
        <v>35</v>
      </c>
      <c r="B36" s="4">
        <v>771</v>
      </c>
      <c r="C36" s="4">
        <v>775</v>
      </c>
      <c r="D36" s="21">
        <v>993.9</v>
      </c>
      <c r="E36" s="5">
        <v>1011.2</v>
      </c>
      <c r="F36" s="5">
        <v>1300</v>
      </c>
      <c r="G36" s="19">
        <v>1847.1</v>
      </c>
      <c r="H36" s="1">
        <v>2394</v>
      </c>
      <c r="I36" s="5">
        <v>2135</v>
      </c>
      <c r="J36" s="19">
        <v>2088</v>
      </c>
      <c r="K36" s="22">
        <v>2100</v>
      </c>
    </row>
    <row r="37" spans="1:11">
      <c r="A37" s="5" t="s">
        <v>36</v>
      </c>
      <c r="B37" s="12">
        <f>SUM(B4+B6+B9+B8)</f>
        <v>36.939040207522694</v>
      </c>
      <c r="C37" s="12">
        <f>SUM(C4+C6+C9+C8)</f>
        <v>48.425806451612907</v>
      </c>
      <c r="D37" s="9">
        <f>SUM(D4+D6+D9+D8)</f>
        <v>41.46292383539592</v>
      </c>
      <c r="E37" s="9">
        <f>SUM(E3+E6+E9+E7)</f>
        <v>39.685522151898731</v>
      </c>
      <c r="F37" s="9">
        <f>SUM(F3+F5+F7+F9)</f>
        <v>32.061538461538461</v>
      </c>
      <c r="G37" s="9">
        <f>SUM(G3+G5+G7+G9)</f>
        <v>29.337881002652807</v>
      </c>
      <c r="H37" s="24">
        <f>SUM(H3+H5+H7+H8)</f>
        <v>21.232247284878866</v>
      </c>
      <c r="I37" s="9">
        <f>SUM(I3+I5+I7+I8)</f>
        <v>22.599531615925056</v>
      </c>
      <c r="J37" s="9">
        <f>SUM(J3+J5+J7+J8)</f>
        <v>23.75</v>
      </c>
      <c r="K37" s="24">
        <f>SUM(K3+K5+K7+K8)</f>
        <v>22.914285714285715</v>
      </c>
    </row>
    <row r="38" spans="1:11">
      <c r="A38" s="5" t="s">
        <v>37</v>
      </c>
      <c r="B38" s="12">
        <f>SUMSQ(B4,B5,B6,B7,B8,B9,B10,B11,B12,B13,B15,B16,B17,B18,B20)</f>
        <v>425.12831382761271</v>
      </c>
      <c r="C38" s="12">
        <f>SUMSQ(C4,C5,C6,C7,C8,C9,C10,C11,C12,C13,C15,C16,C17,C18,C20)</f>
        <v>720.49232049947989</v>
      </c>
      <c r="D38" s="9">
        <f>SUMSQ(D4,D5,D6,D7,D8,D9,D10,D11,D12,D13,D15,D16,D17,D18,D20)</f>
        <v>571.16668038856324</v>
      </c>
      <c r="E38" s="9">
        <f>SUMSQ(E3,E5,E6,E7,E9,E8,E10,E11,E12,E13,E14,E15,E16,E17,E18,E20)</f>
        <v>528.30773579579602</v>
      </c>
      <c r="F38" s="9">
        <f>SUMSQ(F3,F5,F7,F8,F9,F10,F11,F12,F13,F14,F15,F16,F17,F18,F20)</f>
        <v>354.60804733727809</v>
      </c>
      <c r="G38" s="9">
        <f>SUMSQ(G3,G5,G7,G8,G9,G10,G11,G12,G14,G13,G15,G16,G17,G18,G19,G20,G21,G22,G23,G24,G25,G26,G28,G29,G30,G31,G32,G33,G35)</f>
        <v>298.57695242288617</v>
      </c>
      <c r="H38" s="24">
        <f>SUMSQ(H3,H5,H7,H8,H9,H10,H11,H12,H13,H14,H15,H16,H17,H18,H19,H20,H21,H22,H23,H24,H25,H26,H27,H28,H29,H30,H31,H32,H33,H34,H35)</f>
        <v>157.99375562269648</v>
      </c>
      <c r="I38" s="9">
        <f>SUMSQ(I3,I5,I7,I8,I9,I10,I11,I12,I13,I14,I15+I15,I16,I17,I18,I19,I20,I21,I22,I23,I24,I25,I26,I27,I28,I29,I30,I31,I32,I34)</f>
        <v>178.91975494847222</v>
      </c>
      <c r="J38" s="9">
        <f>SUMSQ(J3,J5,J7,J8,J9,J10,J11,J12,J13,J14,J15,J16,J17,J18,J19,J20,J21,J22,J23,J24,J25,J26,J27,J28,J29,J30,J31,J32,J34)</f>
        <v>186.88000946844582</v>
      </c>
      <c r="K38" s="24">
        <f>SUMSQ(K3,K5,K7,K8,K9,K10,K11,K12,K13,K14,K15,K16,K17,K18,K19,K20,K21,K23,K24,K25,K26,K27,K28,K29,K30,K31,K32,K34,K22)</f>
        <v>178.27453514739224</v>
      </c>
    </row>
    <row r="39" spans="1:11">
      <c r="B39" s="28"/>
    </row>
    <row r="41" spans="1:11">
      <c r="A41" s="2" t="s">
        <v>38</v>
      </c>
    </row>
  </sheetData>
  <mergeCells count="1">
    <mergeCell ref="A1:M1"/>
  </mergeCells>
  <phoneticPr fontId="2" type="noConversion"/>
  <pageMargins left="0.75" right="0.75" top="1" bottom="1" header="0.5" footer="0.5"/>
  <rowBreaks count="1" manualBreakCount="1">
    <brk id="28" max="16383" man="1"/>
  </rowBreaks>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Magazines ($)</vt:lpstr>
      <vt:lpstr>Magazines (mrkt share)</vt:lpstr>
    </vt:vector>
  </TitlesOfParts>
  <Company>School of Life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Currie</dc:creator>
  <cp:lastModifiedBy>Caitlin Currie</cp:lastModifiedBy>
  <dcterms:created xsi:type="dcterms:W3CDTF">2013-10-14T15:03:25Z</dcterms:created>
  <dcterms:modified xsi:type="dcterms:W3CDTF">2013-10-14T15:05:00Z</dcterms:modified>
</cp:coreProperties>
</file>