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 yWindow="220" windowWidth="21360" windowHeight="13840" tabRatio="500" activeTab="1"/>
  </bookViews>
  <sheets>
    <sheet name="Magazines ($)" sheetId="1" r:id="rId1"/>
    <sheet name="Magazines (mrkt share)" sheetId="2"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J22" i="1"/>
  <c r="K22"/>
  <c r="K3" i="2"/>
  <c r="K5"/>
  <c r="K7"/>
  <c r="K8"/>
  <c r="K9"/>
  <c r="K10"/>
  <c r="K11"/>
  <c r="K12"/>
  <c r="K13"/>
  <c r="K14"/>
  <c r="K15"/>
  <c r="K16"/>
  <c r="K17"/>
  <c r="K18"/>
  <c r="K19"/>
  <c r="K20"/>
  <c r="K21"/>
  <c r="K23"/>
  <c r="K24"/>
  <c r="K25"/>
  <c r="K26"/>
  <c r="K27"/>
  <c r="K28"/>
  <c r="K29"/>
  <c r="K30"/>
  <c r="K31"/>
  <c r="K32"/>
  <c r="K34"/>
  <c r="K22"/>
  <c r="K38"/>
  <c r="J3"/>
  <c r="J5"/>
  <c r="J7"/>
  <c r="J8"/>
  <c r="J9"/>
  <c r="J10"/>
  <c r="J11"/>
  <c r="J12"/>
  <c r="J13"/>
  <c r="J14"/>
  <c r="J15"/>
  <c r="J16"/>
  <c r="J17"/>
  <c r="J18"/>
  <c r="J19"/>
  <c r="J20"/>
  <c r="J21"/>
  <c r="J22"/>
  <c r="J23"/>
  <c r="J24"/>
  <c r="J25"/>
  <c r="J26"/>
  <c r="J27"/>
  <c r="J28"/>
  <c r="J29"/>
  <c r="J30"/>
  <c r="J31"/>
  <c r="J32"/>
  <c r="J34"/>
  <c r="J38"/>
  <c r="I15"/>
  <c r="I3"/>
  <c r="I5"/>
  <c r="I7"/>
  <c r="I8"/>
  <c r="I9"/>
  <c r="I10"/>
  <c r="I11"/>
  <c r="I12"/>
  <c r="I13"/>
  <c r="I14"/>
  <c r="I16"/>
  <c r="I17"/>
  <c r="I18"/>
  <c r="I19"/>
  <c r="I20"/>
  <c r="I21"/>
  <c r="I22"/>
  <c r="I23"/>
  <c r="I24"/>
  <c r="I25"/>
  <c r="I26"/>
  <c r="I27"/>
  <c r="I28"/>
  <c r="I29"/>
  <c r="I30"/>
  <c r="I31"/>
  <c r="I32"/>
  <c r="I34"/>
  <c r="I38"/>
  <c r="H3"/>
  <c r="H5"/>
  <c r="H7"/>
  <c r="H8"/>
  <c r="H9"/>
  <c r="H10"/>
  <c r="H11"/>
  <c r="H12"/>
  <c r="H13"/>
  <c r="H14"/>
  <c r="H15"/>
  <c r="H16"/>
  <c r="H17"/>
  <c r="H18"/>
  <c r="H19"/>
  <c r="H20"/>
  <c r="H21"/>
  <c r="H22"/>
  <c r="H23"/>
  <c r="H24"/>
  <c r="H25"/>
  <c r="H26"/>
  <c r="H27"/>
  <c r="H28"/>
  <c r="H29"/>
  <c r="H30"/>
  <c r="H31"/>
  <c r="H32"/>
  <c r="H33"/>
  <c r="H34"/>
  <c r="H35"/>
  <c r="H38"/>
  <c r="G3"/>
  <c r="G5"/>
  <c r="G7"/>
  <c r="G8"/>
  <c r="G9"/>
  <c r="G10"/>
  <c r="G11"/>
  <c r="G12"/>
  <c r="G14"/>
  <c r="G13"/>
  <c r="G15"/>
  <c r="G16"/>
  <c r="G17"/>
  <c r="G18"/>
  <c r="G19"/>
  <c r="G20"/>
  <c r="G21"/>
  <c r="G22"/>
  <c r="G23"/>
  <c r="G24"/>
  <c r="G25"/>
  <c r="G26"/>
  <c r="G28"/>
  <c r="G29"/>
  <c r="G30"/>
  <c r="G31"/>
  <c r="G32"/>
  <c r="G33"/>
  <c r="G35"/>
  <c r="G38"/>
  <c r="F3"/>
  <c r="F5"/>
  <c r="F7"/>
  <c r="F8"/>
  <c r="F9"/>
  <c r="F10"/>
  <c r="F11"/>
  <c r="F12"/>
  <c r="F13"/>
  <c r="F14"/>
  <c r="F15"/>
  <c r="F16"/>
  <c r="F17"/>
  <c r="F18"/>
  <c r="F20"/>
  <c r="F38"/>
  <c r="E3"/>
  <c r="E5"/>
  <c r="E6"/>
  <c r="E7"/>
  <c r="E9"/>
  <c r="E8"/>
  <c r="E10"/>
  <c r="E11"/>
  <c r="E12"/>
  <c r="E13"/>
  <c r="E14"/>
  <c r="E15"/>
  <c r="E16"/>
  <c r="E17"/>
  <c r="E18"/>
  <c r="E20"/>
  <c r="E38"/>
  <c r="D4"/>
  <c r="D5"/>
  <c r="D6"/>
  <c r="D7"/>
  <c r="D8"/>
  <c r="D9"/>
  <c r="D10"/>
  <c r="D11"/>
  <c r="D12"/>
  <c r="D13"/>
  <c r="D15"/>
  <c r="D16"/>
  <c r="D17"/>
  <c r="D18"/>
  <c r="D20"/>
  <c r="D38"/>
  <c r="C4"/>
  <c r="C5"/>
  <c r="C6"/>
  <c r="C7"/>
  <c r="C8"/>
  <c r="C9"/>
  <c r="C10"/>
  <c r="C11"/>
  <c r="C12"/>
  <c r="C13"/>
  <c r="C15"/>
  <c r="C16"/>
  <c r="C17"/>
  <c r="C18"/>
  <c r="C20"/>
  <c r="C38"/>
  <c r="B4"/>
  <c r="B5"/>
  <c r="B6"/>
  <c r="B7"/>
  <c r="B8"/>
  <c r="B9"/>
  <c r="B10"/>
  <c r="B11"/>
  <c r="B12"/>
  <c r="B13"/>
  <c r="B15"/>
  <c r="B16"/>
  <c r="B17"/>
  <c r="B18"/>
  <c r="B20"/>
  <c r="B38"/>
  <c r="K37"/>
  <c r="J37"/>
  <c r="I37"/>
  <c r="H37"/>
  <c r="G37"/>
  <c r="F37"/>
  <c r="E37"/>
  <c r="D37"/>
  <c r="C37"/>
  <c r="B37"/>
</calcChain>
</file>

<file path=xl/comments1.xml><?xml version="1.0" encoding="utf-8"?>
<comments xmlns="http://schemas.openxmlformats.org/spreadsheetml/2006/main">
  <authors>
    <author>Dwayne Winseck</author>
  </authors>
  <commentList>
    <comment ref="G3" authorId="0">
      <text>
        <r>
          <rPr>
            <b/>
            <sz val="9"/>
            <color indexed="81"/>
            <rFont val="Calibri"/>
            <family val="2"/>
          </rPr>
          <t>Dwayne Winseck:</t>
        </r>
        <r>
          <rPr>
            <sz val="9"/>
            <color indexed="81"/>
            <rFont val="Calibri"/>
            <family val="2"/>
          </rPr>
          <t xml:space="preserve">
Rogers Annual Report 2004, p. 42. 80% of publishing sector revenue assigned to magazines, the rest to trade publications, directories, etc. </t>
        </r>
      </text>
    </comment>
    <comment ref="H3" authorId="0">
      <text>
        <r>
          <rPr>
            <b/>
            <sz val="9"/>
            <color indexed="81"/>
            <rFont val="Calibri"/>
            <family val="2"/>
          </rPr>
          <t>Dwayne Winseck:</t>
        </r>
        <r>
          <rPr>
            <sz val="9"/>
            <color indexed="81"/>
            <rFont val="Calibri"/>
            <family val="2"/>
          </rPr>
          <t xml:space="preserve">
Rogers Annual Report 2008.  Annual Report indicates that 14% of 'media segment' revenue from publishing. I have assigned 80% of this amount to magazines, with the rest accounted for by trade journals, directories and other.</t>
        </r>
      </text>
    </comment>
    <comment ref="I3" authorId="0">
      <text>
        <r>
          <rPr>
            <b/>
            <sz val="9"/>
            <color indexed="81"/>
            <rFont val="Calibri"/>
            <family val="2"/>
          </rPr>
          <t>Dwayne Winseck:</t>
        </r>
        <r>
          <rPr>
            <sz val="9"/>
            <color indexed="81"/>
            <rFont val="Calibri"/>
            <family val="2"/>
          </rPr>
          <t xml:space="preserve">
Rogers Annual Report 2012, p. 1. </t>
        </r>
      </text>
    </comment>
    <comment ref="J3" authorId="0">
      <text>
        <r>
          <rPr>
            <b/>
            <sz val="9"/>
            <color indexed="81"/>
            <rFont val="Calibri"/>
            <family val="2"/>
          </rPr>
          <t>Dwayne Winseck:</t>
        </r>
        <r>
          <rPr>
            <sz val="9"/>
            <color indexed="81"/>
            <rFont val="Calibri"/>
            <family val="2"/>
          </rPr>
          <t xml:space="preserve">
Rogers Annual Report 2012, p. 1. </t>
        </r>
      </text>
    </comment>
    <comment ref="K3" authorId="0">
      <text>
        <r>
          <rPr>
            <b/>
            <sz val="9"/>
            <color indexed="81"/>
            <rFont val="Calibri"/>
            <family val="2"/>
          </rPr>
          <t>Dwayne Winseck:</t>
        </r>
        <r>
          <rPr>
            <sz val="9"/>
            <color indexed="81"/>
            <rFont val="Calibri"/>
            <family val="2"/>
          </rPr>
          <t xml:space="preserve">
Rogers Annual Report 2012, p. 1. Annual Report indicates that 14% of 'media segment' revenue from publishing. I have assigned 80% of this amount to magazines, with the rest accounted for by trade journals, directories and other.</t>
        </r>
      </text>
    </comment>
    <comment ref="I5" authorId="0">
      <text>
        <r>
          <rPr>
            <b/>
            <sz val="9"/>
            <color indexed="81"/>
            <rFont val="Calibri"/>
            <family val="2"/>
          </rPr>
          <t>Dwayne Winseck:</t>
        </r>
        <r>
          <rPr>
            <sz val="9"/>
            <color indexed="81"/>
            <rFont val="Calibri"/>
            <family val="2"/>
          </rPr>
          <t xml:space="preserve">
Annual Report 2011, pp. 17-19 notes that magazines account for 25% of media segment revenues of $612.4 million.</t>
        </r>
      </text>
    </comment>
    <comment ref="J5" authorId="0">
      <text>
        <r>
          <rPr>
            <b/>
            <sz val="9"/>
            <color indexed="81"/>
            <rFont val="Calibri"/>
            <family val="2"/>
          </rPr>
          <t>Dwayne Winseck:</t>
        </r>
        <r>
          <rPr>
            <sz val="9"/>
            <color indexed="81"/>
            <rFont val="Calibri"/>
            <family val="2"/>
          </rPr>
          <t xml:space="preserve">
Annual Report 2011, pp. 17-19 notes that magazines account for 25% of media segment revenues of $612.4 million.</t>
        </r>
      </text>
    </comment>
    <comment ref="K5" authorId="0">
      <text>
        <r>
          <rPr>
            <b/>
            <sz val="9"/>
            <color indexed="81"/>
            <rFont val="Calibri"/>
            <family val="2"/>
          </rPr>
          <t>Dwayne Winseck:</t>
        </r>
        <r>
          <rPr>
            <sz val="9"/>
            <color indexed="81"/>
            <rFont val="Calibri"/>
            <family val="2"/>
          </rPr>
          <t xml:space="preserve">
Estimate based on textual comments in Annual Report 2012 at pages 36-37 indicating slight year-over-year decline in magazine revenues. Indicates decline of $20.8 million in existing operations, with $7.5 million of that amount attributable to books. Remainder split between newspapers and magazines. </t>
        </r>
      </text>
    </comment>
    <comment ref="K7" authorId="0">
      <text>
        <r>
          <rPr>
            <b/>
            <sz val="9"/>
            <color indexed="81"/>
            <rFont val="Calibri"/>
            <family val="2"/>
          </rPr>
          <t>Dwayne Winseck:</t>
        </r>
        <r>
          <rPr>
            <sz val="9"/>
            <color indexed="81"/>
            <rFont val="Calibri"/>
            <family val="2"/>
          </rPr>
          <t xml:space="preserve">
Revenues for 2010-2012 estimated based on Canada accounting for 2.5% of Time Warner's total publishing revenue - an amount equal to title by title tally for 2008.</t>
        </r>
      </text>
    </comment>
    <comment ref="F8" authorId="0">
      <text>
        <r>
          <rPr>
            <b/>
            <sz val="9"/>
            <color indexed="81"/>
            <rFont val="Calibri"/>
            <family val="2"/>
          </rPr>
          <t>Dwayne Winseck:</t>
        </r>
        <r>
          <rPr>
            <sz val="9"/>
            <color indexed="81"/>
            <rFont val="Calibri"/>
            <family val="2"/>
          </rPr>
          <t xml:space="preserve">
Annual Information Form 2004, p. 7.  17% of TVA Groupe revenues allocated to magazines based on proportion identified in subsequent Annual Information Reports and Presentations to investors and financial industry conferences. </t>
        </r>
      </text>
    </comment>
    <comment ref="G8" authorId="0">
      <text>
        <r>
          <rPr>
            <b/>
            <sz val="9"/>
            <color indexed="81"/>
            <rFont val="Calibri"/>
            <family val="2"/>
          </rPr>
          <t>Dwayne Winseck:</t>
        </r>
        <r>
          <rPr>
            <sz val="9"/>
            <color indexed="81"/>
            <rFont val="Calibri"/>
            <family val="2"/>
          </rPr>
          <t xml:space="preserve">
Annual Information Form 2004, p. 7.  17% of TVA Groupe revenues allocated to magazines based on proportion identified in subsequent Annual Information Reports and Presentations to investors and financial industry conferences. </t>
        </r>
      </text>
    </comment>
    <comment ref="H8" authorId="0">
      <text>
        <r>
          <rPr>
            <b/>
            <sz val="9"/>
            <color indexed="81"/>
            <rFont val="Calibri"/>
            <family val="2"/>
          </rPr>
          <t>Dwayne Winseck:</t>
        </r>
        <r>
          <rPr>
            <sz val="9"/>
            <color indexed="81"/>
            <rFont val="Calibri"/>
            <family val="2"/>
          </rPr>
          <t xml:space="preserve">
Annual Information Form 2008, p. A-1.</t>
        </r>
      </text>
    </comment>
    <comment ref="I8" authorId="0">
      <text>
        <r>
          <rPr>
            <b/>
            <sz val="9"/>
            <color indexed="81"/>
            <rFont val="Calibri"/>
            <family val="2"/>
          </rPr>
          <t>Dwayne Winseck:</t>
        </r>
        <r>
          <rPr>
            <sz val="9"/>
            <color indexed="81"/>
            <rFont val="Calibri"/>
            <family val="2"/>
          </rPr>
          <t xml:space="preserve">
Annual Information Form 2011, p. A-3.</t>
        </r>
      </text>
    </comment>
    <comment ref="J8" authorId="0">
      <text>
        <r>
          <rPr>
            <b/>
            <sz val="9"/>
            <color indexed="81"/>
            <rFont val="Calibri"/>
            <family val="2"/>
          </rPr>
          <t>Dwayne Winseck:</t>
        </r>
        <r>
          <rPr>
            <sz val="9"/>
            <color indexed="81"/>
            <rFont val="Calibri"/>
            <family val="2"/>
          </rPr>
          <t xml:space="preserve">
Annual Information Form 2012, p. A-3.</t>
        </r>
      </text>
    </comment>
    <comment ref="K8" authorId="0">
      <text>
        <r>
          <rPr>
            <b/>
            <sz val="9"/>
            <color indexed="81"/>
            <rFont val="Calibri"/>
            <family val="2"/>
          </rPr>
          <t>Dwayne Winseck:</t>
        </r>
        <r>
          <rPr>
            <sz val="9"/>
            <color indexed="81"/>
            <rFont val="Calibri"/>
            <family val="2"/>
          </rPr>
          <t xml:space="preserve">
Annual Information Form 2012, p. A-3.</t>
        </r>
      </text>
    </comment>
    <comment ref="K9" authorId="0">
      <text>
        <r>
          <rPr>
            <b/>
            <sz val="9"/>
            <color indexed="81"/>
            <rFont val="Calibri"/>
            <family val="2"/>
          </rPr>
          <t>Dwayne Winseck:</t>
        </r>
        <r>
          <rPr>
            <sz val="9"/>
            <color indexed="81"/>
            <rFont val="Calibri"/>
            <family val="2"/>
          </rPr>
          <t xml:space="preserve">
Revenues for 2010-2012 estimated based on Canada accounting for 12.6% of American Media's total revenue as reported in its Annual Report 2012, p. 22 - an amount equal to title by title tally for 2008.</t>
        </r>
      </text>
    </comment>
    <comment ref="K10" authorId="0">
      <text>
        <r>
          <rPr>
            <b/>
            <sz val="9"/>
            <color indexed="81"/>
            <rFont val="Calibri"/>
            <family val="2"/>
          </rPr>
          <t>Dwayne Winseck:</t>
        </r>
        <r>
          <rPr>
            <sz val="9"/>
            <color indexed="81"/>
            <rFont val="Calibri"/>
            <family val="2"/>
          </rPr>
          <t xml:space="preserve">
Revenues for 2010-2012 estimated based on Canada accounting for 1.6% of Bauer Media's total revenue as reported in the Facts and Figures section of its website - an amount equal to title by title tally for 2008.</t>
        </r>
      </text>
    </comment>
    <comment ref="K11" authorId="0">
      <text>
        <r>
          <rPr>
            <b/>
            <sz val="9"/>
            <color indexed="81"/>
            <rFont val="Calibri"/>
            <family val="2"/>
          </rPr>
          <t>Dwayne Winseck:</t>
        </r>
        <r>
          <rPr>
            <sz val="9"/>
            <color indexed="81"/>
            <rFont val="Calibri"/>
            <family val="2"/>
          </rPr>
          <t xml:space="preserve">
Hearst is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H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2008, p. 2. For 2000 and 2004 same method is used, but estimates for US based on avg share of magazine revenues in 2008-2012 period, i.e. 36%. Historical revenue figures available in Annual Report 2008, p. 33.</t>
        </r>
      </text>
    </comment>
    <comment ref="I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2010, p. 4.</t>
        </r>
      </text>
    </comment>
    <comment ref="K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2012, p. 4.</t>
        </r>
      </text>
    </comment>
    <comment ref="K15" authorId="0">
      <text>
        <r>
          <rPr>
            <b/>
            <sz val="9"/>
            <color indexed="81"/>
            <rFont val="Calibri"/>
            <family val="2"/>
          </rPr>
          <t>Dwayne Winseck:</t>
        </r>
        <r>
          <rPr>
            <sz val="9"/>
            <color indexed="81"/>
            <rFont val="Calibri"/>
            <family val="2"/>
          </rPr>
          <t xml:space="preserve">
Readers Digest is not a publicly-traded company so it does not make its revenue figures available. Revenues for 2010-2012 estimated based on average rate of growth/decline of Time Warner, Bauer and Readers Digest revenues in Canada. Figures prior to that based on an title by title tally of advertising, subscription and newstand revenue.</t>
        </r>
      </text>
    </comment>
    <comment ref="K16" authorId="0">
      <text>
        <r>
          <rPr>
            <b/>
            <sz val="9"/>
            <color indexed="81"/>
            <rFont val="Calibri"/>
            <family val="2"/>
          </rPr>
          <t>Dwayne Winseck:</t>
        </r>
        <r>
          <rPr>
            <sz val="9"/>
            <color indexed="81"/>
            <rFont val="Calibri"/>
            <family val="2"/>
          </rPr>
          <t xml:space="preserve">
Conde Nast is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K18" authorId="0">
      <text>
        <r>
          <rPr>
            <b/>
            <sz val="9"/>
            <color indexed="81"/>
            <rFont val="Calibri"/>
            <family val="2"/>
          </rPr>
          <t>Dwayne Winseck:</t>
        </r>
        <r>
          <rPr>
            <sz val="9"/>
            <color indexed="81"/>
            <rFont val="Calibri"/>
            <family val="2"/>
          </rPr>
          <t xml:space="preserve">
Revenues for 2010-2012 estimated based on Canada accounting for 1.2% of Meredith's total revenue as reported in its Annual Report 2011 and 2012 - an amount equal to title by title tally of revenues for 2008.</t>
        </r>
      </text>
    </comment>
    <comment ref="K20" authorId="0">
      <text>
        <r>
          <rPr>
            <b/>
            <sz val="9"/>
            <color indexed="81"/>
            <rFont val="Calibri"/>
            <family val="2"/>
          </rPr>
          <t>Dwayne Winseck:</t>
        </r>
        <r>
          <rPr>
            <sz val="9"/>
            <color indexed="81"/>
            <rFont val="Calibri"/>
            <family val="2"/>
          </rPr>
          <t xml:space="preserve">
Wenner is a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K25" authorId="0">
      <text>
        <r>
          <rPr>
            <b/>
            <sz val="9"/>
            <color indexed="81"/>
            <rFont val="Calibri"/>
            <family val="2"/>
          </rPr>
          <t>Dwayne Winseck:</t>
        </r>
        <r>
          <rPr>
            <sz val="9"/>
            <color indexed="81"/>
            <rFont val="Calibri"/>
            <family val="2"/>
          </rPr>
          <t xml:space="preserve">
Buzz Media is a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List>
</comments>
</file>

<file path=xl/comments2.xml><?xml version="1.0" encoding="utf-8"?>
<comments xmlns="http://schemas.openxmlformats.org/spreadsheetml/2006/main">
  <authors>
    <author>Dwayne Winseck</author>
  </authors>
  <commentList>
    <comment ref="G3" authorId="0">
      <text>
        <r>
          <rPr>
            <b/>
            <sz val="9"/>
            <color indexed="81"/>
            <rFont val="Calibri"/>
            <family val="2"/>
          </rPr>
          <t>Dwayne Winseck:</t>
        </r>
        <r>
          <rPr>
            <sz val="9"/>
            <color indexed="81"/>
            <rFont val="Calibri"/>
            <family val="2"/>
          </rPr>
          <t xml:space="preserve">
Rogers Annual Report 2004, p. 42. 80% of publishing sector revenue assigned to magazines, the rest to trade publications, directories, etc. </t>
        </r>
      </text>
    </comment>
    <comment ref="H3" authorId="0">
      <text>
        <r>
          <rPr>
            <b/>
            <sz val="9"/>
            <color indexed="81"/>
            <rFont val="Calibri"/>
            <family val="2"/>
          </rPr>
          <t>Dwayne Winseck:</t>
        </r>
        <r>
          <rPr>
            <sz val="9"/>
            <color indexed="81"/>
            <rFont val="Calibri"/>
            <family val="2"/>
          </rPr>
          <t xml:space="preserve">
Rogers Annual Report 2008.  Annual Report indicates that 14% of 'media segment' revenue from publishing. I have assigned 80% of this amount to magazines, with the rest accounted for by trade journals, directories and other.</t>
        </r>
      </text>
    </comment>
    <comment ref="I3" authorId="0">
      <text>
        <r>
          <rPr>
            <b/>
            <sz val="9"/>
            <color indexed="81"/>
            <rFont val="Calibri"/>
            <family val="2"/>
          </rPr>
          <t>Dwayne Winseck:</t>
        </r>
        <r>
          <rPr>
            <sz val="9"/>
            <color indexed="81"/>
            <rFont val="Calibri"/>
            <family val="2"/>
          </rPr>
          <t xml:space="preserve">
Rogers Annual Report 2012, p. 1. </t>
        </r>
      </text>
    </comment>
    <comment ref="J3" authorId="0">
      <text>
        <r>
          <rPr>
            <b/>
            <sz val="9"/>
            <color indexed="81"/>
            <rFont val="Calibri"/>
            <family val="2"/>
          </rPr>
          <t>Dwayne Winseck:</t>
        </r>
        <r>
          <rPr>
            <sz val="9"/>
            <color indexed="81"/>
            <rFont val="Calibri"/>
            <family val="2"/>
          </rPr>
          <t xml:space="preserve">
Rogers Annual Report 2012, p. 1. </t>
        </r>
      </text>
    </comment>
    <comment ref="K3" authorId="0">
      <text>
        <r>
          <rPr>
            <b/>
            <sz val="9"/>
            <color indexed="81"/>
            <rFont val="Calibri"/>
            <family val="2"/>
          </rPr>
          <t>Dwayne Winseck:</t>
        </r>
        <r>
          <rPr>
            <sz val="9"/>
            <color indexed="81"/>
            <rFont val="Calibri"/>
            <family val="2"/>
          </rPr>
          <t xml:space="preserve">
Rogers Annual Report 2012, p. 1. Annual Report indicates that 14% of 'media segment' revenue from publishing. I have assigned 80% of this amount to magazines, with the rest accounted for by trade journals, directories and other.</t>
        </r>
      </text>
    </comment>
    <comment ref="I5" authorId="0">
      <text>
        <r>
          <rPr>
            <b/>
            <sz val="9"/>
            <color indexed="81"/>
            <rFont val="Calibri"/>
            <family val="2"/>
          </rPr>
          <t>Dwayne Winseck:</t>
        </r>
        <r>
          <rPr>
            <sz val="9"/>
            <color indexed="81"/>
            <rFont val="Calibri"/>
            <family val="2"/>
          </rPr>
          <t xml:space="preserve">
Annual Report 2011, pp. 17-19 notes that magazines account for 25% of media segment revenues of $612.4 million.</t>
        </r>
      </text>
    </comment>
    <comment ref="J5" authorId="0">
      <text>
        <r>
          <rPr>
            <b/>
            <sz val="9"/>
            <color indexed="81"/>
            <rFont val="Calibri"/>
            <family val="2"/>
          </rPr>
          <t>Dwayne Winseck:</t>
        </r>
        <r>
          <rPr>
            <sz val="9"/>
            <color indexed="81"/>
            <rFont val="Calibri"/>
            <family val="2"/>
          </rPr>
          <t xml:space="preserve">
Annual Report 2011, pp. 17-19 notes that magazines account for 25% of media segment revenues of $612.4 million.</t>
        </r>
      </text>
    </comment>
    <comment ref="K5" authorId="0">
      <text>
        <r>
          <rPr>
            <b/>
            <sz val="9"/>
            <color indexed="81"/>
            <rFont val="Calibri"/>
            <family val="2"/>
          </rPr>
          <t>Dwayne Winseck:</t>
        </r>
        <r>
          <rPr>
            <sz val="9"/>
            <color indexed="81"/>
            <rFont val="Calibri"/>
            <family val="2"/>
          </rPr>
          <t xml:space="preserve">
Estimate based on textual comments in Annual Report 2012 at pages 36-37 indicating slight year-over-year decline in magazine revenues. Indicates decline of $20.8 million in existing operations, with $7.5 million of that amount attributable to books. Remainder split between newspapers and magazines. </t>
        </r>
      </text>
    </comment>
    <comment ref="K7" authorId="0">
      <text>
        <r>
          <rPr>
            <b/>
            <sz val="9"/>
            <color indexed="81"/>
            <rFont val="Calibri"/>
            <family val="2"/>
          </rPr>
          <t>Dwayne Winseck:</t>
        </r>
        <r>
          <rPr>
            <sz val="9"/>
            <color indexed="81"/>
            <rFont val="Calibri"/>
            <family val="2"/>
          </rPr>
          <t xml:space="preserve">
Revenues for 2010-2012 estimated based on Canada accounting for 2.5% of Time Warner's total publishing revenue - an amount equal to title by title tally for 2008.</t>
        </r>
      </text>
    </comment>
    <comment ref="F8" authorId="0">
      <text>
        <r>
          <rPr>
            <b/>
            <sz val="9"/>
            <color indexed="81"/>
            <rFont val="Calibri"/>
            <family val="2"/>
          </rPr>
          <t>Dwayne Winseck:</t>
        </r>
        <r>
          <rPr>
            <sz val="9"/>
            <color indexed="81"/>
            <rFont val="Calibri"/>
            <family val="2"/>
          </rPr>
          <t xml:space="preserve">
Annual Information Form 2004, p. 7.  17% of TVA Groupe revenues allocated to magazines based on proportion identified in subsequent Annual Information Reports and Presentations to investors and financial industry conferences. </t>
        </r>
      </text>
    </comment>
    <comment ref="G8" authorId="0">
      <text>
        <r>
          <rPr>
            <b/>
            <sz val="9"/>
            <color indexed="81"/>
            <rFont val="Calibri"/>
            <family val="2"/>
          </rPr>
          <t>Dwayne Winseck:</t>
        </r>
        <r>
          <rPr>
            <sz val="9"/>
            <color indexed="81"/>
            <rFont val="Calibri"/>
            <family val="2"/>
          </rPr>
          <t xml:space="preserve">
Annual Information Form 2004, p. 7.  17% of TVA Groupe revenues allocated to magazines based on proportion identified in subsequent Annual Information Reports and Presentations to investors and financial industry conferences. </t>
        </r>
      </text>
    </comment>
    <comment ref="H8" authorId="0">
      <text>
        <r>
          <rPr>
            <b/>
            <sz val="9"/>
            <color indexed="81"/>
            <rFont val="Calibri"/>
            <family val="2"/>
          </rPr>
          <t>Dwayne Winseck:</t>
        </r>
        <r>
          <rPr>
            <sz val="9"/>
            <color indexed="81"/>
            <rFont val="Calibri"/>
            <family val="2"/>
          </rPr>
          <t xml:space="preserve">
Annual Information Form 2008, p. A-1.</t>
        </r>
      </text>
    </comment>
    <comment ref="I8" authorId="0">
      <text>
        <r>
          <rPr>
            <b/>
            <sz val="9"/>
            <color indexed="81"/>
            <rFont val="Calibri"/>
            <family val="2"/>
          </rPr>
          <t>Dwayne Winseck:</t>
        </r>
        <r>
          <rPr>
            <sz val="9"/>
            <color indexed="81"/>
            <rFont val="Calibri"/>
            <family val="2"/>
          </rPr>
          <t xml:space="preserve">
Annual Information Form 2011, p. A-3.</t>
        </r>
      </text>
    </comment>
    <comment ref="J8" authorId="0">
      <text>
        <r>
          <rPr>
            <b/>
            <sz val="9"/>
            <color indexed="81"/>
            <rFont val="Calibri"/>
            <family val="2"/>
          </rPr>
          <t>Dwayne Winseck:</t>
        </r>
        <r>
          <rPr>
            <sz val="9"/>
            <color indexed="81"/>
            <rFont val="Calibri"/>
            <family val="2"/>
          </rPr>
          <t xml:space="preserve">
Annual Information Form 2012, p. A-3.</t>
        </r>
      </text>
    </comment>
    <comment ref="K8" authorId="0">
      <text>
        <r>
          <rPr>
            <b/>
            <sz val="9"/>
            <color indexed="81"/>
            <rFont val="Calibri"/>
            <family val="2"/>
          </rPr>
          <t>Dwayne Winseck:</t>
        </r>
        <r>
          <rPr>
            <sz val="9"/>
            <color indexed="81"/>
            <rFont val="Calibri"/>
            <family val="2"/>
          </rPr>
          <t xml:space="preserve">
Annual Information Form 2012, p. A-3.</t>
        </r>
      </text>
    </comment>
    <comment ref="K9" authorId="0">
      <text>
        <r>
          <rPr>
            <b/>
            <sz val="9"/>
            <color indexed="81"/>
            <rFont val="Calibri"/>
            <family val="2"/>
          </rPr>
          <t>Dwayne Winseck:</t>
        </r>
        <r>
          <rPr>
            <sz val="9"/>
            <color indexed="81"/>
            <rFont val="Calibri"/>
            <family val="2"/>
          </rPr>
          <t xml:space="preserve">
Revenues for 2010-2012 estimated based on Canada accounting for 12.6% of American Media's total revenue as reported in its Annual Report 2012, p. 22 - an amount equal to title by title tally for 2008.</t>
        </r>
      </text>
    </comment>
    <comment ref="K10" authorId="0">
      <text>
        <r>
          <rPr>
            <b/>
            <sz val="9"/>
            <color indexed="81"/>
            <rFont val="Calibri"/>
            <family val="2"/>
          </rPr>
          <t>Dwayne Winseck:</t>
        </r>
        <r>
          <rPr>
            <sz val="9"/>
            <color indexed="81"/>
            <rFont val="Calibri"/>
            <family val="2"/>
          </rPr>
          <t xml:space="preserve">
Revenues for 2010-2012 estimated based on Canada accounting for 1.6% of Bauer Media's total revenue as reported in the Facts and Figures section of its website - an amount equal to title by title tally for 2008.</t>
        </r>
      </text>
    </comment>
    <comment ref="K11" authorId="0">
      <text>
        <r>
          <rPr>
            <b/>
            <sz val="9"/>
            <color indexed="81"/>
            <rFont val="Calibri"/>
            <family val="2"/>
          </rPr>
          <t>Dwayne Winseck:</t>
        </r>
        <r>
          <rPr>
            <sz val="9"/>
            <color indexed="81"/>
            <rFont val="Calibri"/>
            <family val="2"/>
          </rPr>
          <t xml:space="preserve">
Hearst is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H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2008, p. 2. For 2000 and 2004 same method is used, but estimates for US based on avg share of magazine revenues in 2008-2012 period, i.e. 36%. Historical revenue figures available in Annual Report 2008, p. 33.</t>
        </r>
      </text>
    </comment>
    <comment ref="I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2010, p. 4.</t>
        </r>
      </text>
    </comment>
    <comment ref="K14" authorId="0">
      <text>
        <r>
          <rPr>
            <b/>
            <sz val="9"/>
            <color indexed="81"/>
            <rFont val="Calibri"/>
            <family val="2"/>
          </rPr>
          <t>Dwayne Winseck:</t>
        </r>
        <r>
          <rPr>
            <sz val="9"/>
            <color indexed="81"/>
            <rFont val="Calibri"/>
            <family val="2"/>
          </rPr>
          <t xml:space="preserve">
Estimate based on CDN revenues being 1/10 of those in the U.S., as indicated in Bonnier Annual Report 2012, p. 4.</t>
        </r>
      </text>
    </comment>
    <comment ref="K15" authorId="0">
      <text>
        <r>
          <rPr>
            <b/>
            <sz val="9"/>
            <color indexed="81"/>
            <rFont val="Calibri"/>
            <family val="2"/>
          </rPr>
          <t>Dwayne Winseck:</t>
        </r>
        <r>
          <rPr>
            <sz val="9"/>
            <color indexed="81"/>
            <rFont val="Calibri"/>
            <family val="2"/>
          </rPr>
          <t xml:space="preserve">
Readers Digest is not a publicly-traded company so it does not make its revenue figures available. Revenues for 2010-2012 estimated based on average rate of growth/decline of Time Warner, Bauer and Readers Digest revenues in Canada. Figures prior to that based on an title by title tally of advertising, subscription and newstand revenue.</t>
        </r>
      </text>
    </comment>
    <comment ref="K16" authorId="0">
      <text>
        <r>
          <rPr>
            <b/>
            <sz val="9"/>
            <color indexed="81"/>
            <rFont val="Calibri"/>
            <family val="2"/>
          </rPr>
          <t>Dwayne Winseck:</t>
        </r>
        <r>
          <rPr>
            <sz val="9"/>
            <color indexed="81"/>
            <rFont val="Calibri"/>
            <family val="2"/>
          </rPr>
          <t xml:space="preserve">
Conde Nast is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K18" authorId="0">
      <text>
        <r>
          <rPr>
            <b/>
            <sz val="9"/>
            <color indexed="81"/>
            <rFont val="Calibri"/>
            <family val="2"/>
          </rPr>
          <t>Dwayne Winseck:</t>
        </r>
        <r>
          <rPr>
            <sz val="9"/>
            <color indexed="81"/>
            <rFont val="Calibri"/>
            <family val="2"/>
          </rPr>
          <t xml:space="preserve">
Revenues for 2010-2012 estimated based on Canada accounting for 1.2% of Meredith's total revenue as reported in its Annual Report 2011 and 2012 - an amount equal to title by title tally of revenues for 2008.</t>
        </r>
      </text>
    </comment>
    <comment ref="K20" authorId="0">
      <text>
        <r>
          <rPr>
            <b/>
            <sz val="9"/>
            <color indexed="81"/>
            <rFont val="Calibri"/>
            <family val="2"/>
          </rPr>
          <t>Dwayne Winseck:</t>
        </r>
        <r>
          <rPr>
            <sz val="9"/>
            <color indexed="81"/>
            <rFont val="Calibri"/>
            <family val="2"/>
          </rPr>
          <t xml:space="preserve">
Wenner is a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 ref="K25" authorId="0">
      <text>
        <r>
          <rPr>
            <b/>
            <sz val="9"/>
            <color indexed="81"/>
            <rFont val="Calibri"/>
            <family val="2"/>
          </rPr>
          <t>Dwayne Winseck:</t>
        </r>
        <r>
          <rPr>
            <sz val="9"/>
            <color indexed="81"/>
            <rFont val="Calibri"/>
            <family val="2"/>
          </rPr>
          <t xml:space="preserve">
Buzz Media is a privately traded company so it does not make its revenue figures available. Revenues for 2010-2012 estimated based on average rate of growth/decline of Time Warner, Bauer and Readers Digest revenues in Canada. Figures for 2008 and earlier based on an title by title tally of advertising, subscription and newstand revenue.</t>
        </r>
      </text>
    </comment>
  </commentList>
</comments>
</file>

<file path=xl/sharedStrings.xml><?xml version="1.0" encoding="utf-8"?>
<sst xmlns="http://schemas.openxmlformats.org/spreadsheetml/2006/main" count="80" uniqueCount="41">
  <si>
    <t>Rogers</t>
  </si>
  <si>
    <t xml:space="preserve">   Maclean Hunter</t>
  </si>
  <si>
    <t>Rogers 1994</t>
  </si>
  <si>
    <t>Transcontinental</t>
  </si>
  <si>
    <t xml:space="preserve">   Telemedia</t>
  </si>
  <si>
    <t>Transcont.</t>
  </si>
  <si>
    <t>Time Warner*</t>
  </si>
  <si>
    <t>Quebecor</t>
  </si>
  <si>
    <t>American Media*</t>
  </si>
  <si>
    <t>Bauer Media*</t>
  </si>
  <si>
    <t>Hearst*</t>
  </si>
  <si>
    <t>St. Joseph Media</t>
  </si>
  <si>
    <t>Readers Digest*</t>
  </si>
  <si>
    <t>Bonnier</t>
  </si>
  <si>
    <t>National Geog.</t>
  </si>
  <si>
    <t>Conde Nast*</t>
  </si>
  <si>
    <t>House &amp; Home</t>
  </si>
  <si>
    <t>Meredith*</t>
  </si>
  <si>
    <t>Now</t>
  </si>
  <si>
    <t>Wenner*</t>
  </si>
  <si>
    <t>Air Canada (En Route)</t>
  </si>
  <si>
    <t>CableCos (Movie Entertainment)</t>
  </si>
  <si>
    <t>LCBO (Food &amp; Drink)</t>
  </si>
  <si>
    <t>CTVgm</t>
  </si>
  <si>
    <t>Buzz Media*</t>
  </si>
  <si>
    <t>CDN Geographic</t>
  </si>
  <si>
    <t>Znaimer (Zoomer)</t>
  </si>
  <si>
    <t>Q on Q Media</t>
  </si>
  <si>
    <t>Cottage Life</t>
  </si>
  <si>
    <t>DecorMag</t>
  </si>
  <si>
    <t>Grid (formerly Eye Weekly)</t>
    <phoneticPr fontId="2" type="noConversion"/>
  </si>
  <si>
    <t>Post Media (Fin. Post)</t>
  </si>
  <si>
    <t>Alpha*</t>
  </si>
  <si>
    <t>Cineplex (Famous)</t>
  </si>
  <si>
    <t>Pearson</t>
  </si>
  <si>
    <t>Total Revenues</t>
    <phoneticPr fontId="2" type="noConversion"/>
  </si>
  <si>
    <t>CR4</t>
    <phoneticPr fontId="2" type="noConversion"/>
  </si>
  <si>
    <t>HHI</t>
    <phoneticPr fontId="2" type="noConversion"/>
  </si>
  <si>
    <t>See Notes and Sources Appendix.</t>
  </si>
  <si>
    <t>Magazine Ownership Groups, Revenues ($Millions) and Concentration Levels, 1984-2012</t>
    <phoneticPr fontId="2" type="noConversion"/>
  </si>
  <si>
    <t>Magazine Publishing Groups, Market Shares (Percentage based on $) and Concentration Levels, 1984-2012 (1)</t>
    <phoneticPr fontId="2" type="noConversion"/>
  </si>
</sst>
</file>

<file path=xl/styles.xml><?xml version="1.0" encoding="utf-8"?>
<styleSheet xmlns="http://schemas.openxmlformats.org/spreadsheetml/2006/main">
  <numFmts count="7">
    <numFmt numFmtId="8" formatCode="&quot;$&quot;#,##0.00_);[Red]\(&quot;$&quot;#,##0.00\)"/>
    <numFmt numFmtId="43" formatCode="_(* #,##0.00_);_(* \(#,##0.00\);_(* &quot;-&quot;??_);_(@_)"/>
    <numFmt numFmtId="164" formatCode="0.0"/>
    <numFmt numFmtId="165" formatCode="#,##0.0"/>
    <numFmt numFmtId="166" formatCode="_(* #,##0.0_);_(* \(#,##0.0\);_(* &quot;-&quot;??_);_(@_)"/>
    <numFmt numFmtId="167" formatCode="_(* #,##0_);_(* \(#,##0\);_(* &quot;-&quot;??_);_(@_)"/>
    <numFmt numFmtId="168" formatCode="#,##0.0_);[Red]\(#,##0.0\)"/>
  </numFmts>
  <fonts count="13">
    <font>
      <sz val="12"/>
      <color indexed="8"/>
      <name val="Calibri"/>
      <family val="2"/>
    </font>
    <font>
      <b/>
      <sz val="12"/>
      <name val="Cambria"/>
    </font>
    <font>
      <sz val="8"/>
      <name val="Verdana"/>
    </font>
    <font>
      <sz val="12"/>
      <name val="Cambria"/>
    </font>
    <font>
      <sz val="12"/>
      <color indexed="8"/>
      <name val="Cambria"/>
    </font>
    <font>
      <i/>
      <sz val="12"/>
      <name val="Cambria"/>
    </font>
    <font>
      <sz val="12"/>
      <color indexed="53"/>
      <name val="Cambria"/>
    </font>
    <font>
      <b/>
      <sz val="12"/>
      <color indexed="8"/>
      <name val="Cambria"/>
    </font>
    <font>
      <b/>
      <sz val="9"/>
      <color indexed="81"/>
      <name val="Calibri"/>
      <family val="2"/>
    </font>
    <font>
      <sz val="9"/>
      <color indexed="81"/>
      <name val="Calibri"/>
      <family val="2"/>
    </font>
    <font>
      <b/>
      <sz val="12"/>
      <name val="Verdana"/>
    </font>
    <font>
      <b/>
      <sz val="12"/>
      <name val="Calibri"/>
    </font>
    <font>
      <sz val="12"/>
      <name val="Calibri"/>
    </font>
  </fonts>
  <fills count="2">
    <fill>
      <patternFill patternType="none"/>
    </fill>
    <fill>
      <patternFill patternType="gray125"/>
    </fill>
  </fills>
  <borders count="1">
    <border>
      <left/>
      <right/>
      <top/>
      <bottom/>
      <diagonal/>
    </border>
  </borders>
  <cellStyleXfs count="2">
    <xf numFmtId="0" fontId="0" fillId="0" borderId="0"/>
    <xf numFmtId="9" fontId="11" fillId="0" borderId="0" applyFont="0" applyFill="0" applyBorder="0" applyAlignment="0" applyProtection="0"/>
  </cellStyleXfs>
  <cellXfs count="31">
    <xf numFmtId="0" fontId="0" fillId="0" borderId="0" xfId="0"/>
    <xf numFmtId="0" fontId="1" fillId="0" borderId="0" xfId="0" applyFont="1"/>
    <xf numFmtId="0" fontId="3" fillId="0" borderId="0" xfId="0" applyFont="1"/>
    <xf numFmtId="0" fontId="4" fillId="0" borderId="0" xfId="0" applyFont="1"/>
    <xf numFmtId="0" fontId="3" fillId="0" borderId="0" xfId="0" applyFont="1" applyBorder="1"/>
    <xf numFmtId="0" fontId="1" fillId="0" borderId="0" xfId="0" applyFont="1" applyBorder="1"/>
    <xf numFmtId="0" fontId="1" fillId="0" borderId="0" xfId="0" applyFont="1" applyBorder="1" applyAlignment="1"/>
    <xf numFmtId="2" fontId="3" fillId="0" borderId="0" xfId="0" applyNumberFormat="1" applyFont="1" applyBorder="1"/>
    <xf numFmtId="2" fontId="3" fillId="0" borderId="0" xfId="0" applyNumberFormat="1" applyFont="1" applyBorder="1" applyProtection="1">
      <protection locked="0"/>
    </xf>
    <xf numFmtId="164" fontId="1" fillId="0" borderId="0" xfId="0" applyNumberFormat="1" applyFont="1" applyBorder="1"/>
    <xf numFmtId="164" fontId="3" fillId="0" borderId="0" xfId="0" applyNumberFormat="1" applyFont="1" applyBorder="1" applyProtection="1">
      <protection locked="0"/>
    </xf>
    <xf numFmtId="164" fontId="3" fillId="0" borderId="0" xfId="0" applyNumberFormat="1" applyFont="1"/>
    <xf numFmtId="164" fontId="3" fillId="0" borderId="0" xfId="0" applyNumberFormat="1" applyFont="1" applyBorder="1"/>
    <xf numFmtId="164" fontId="3" fillId="0" borderId="0" xfId="0" applyNumberFormat="1" applyFont="1" applyBorder="1" applyAlignment="1">
      <alignment horizontal="right"/>
    </xf>
    <xf numFmtId="164" fontId="3" fillId="0" borderId="0" xfId="1" applyNumberFormat="1" applyFont="1"/>
    <xf numFmtId="165" fontId="3" fillId="0" borderId="0" xfId="0" applyNumberFormat="1" applyFont="1" applyBorder="1"/>
    <xf numFmtId="0" fontId="5" fillId="0" borderId="0" xfId="0" applyFont="1"/>
    <xf numFmtId="3" fontId="3" fillId="0" borderId="0" xfId="0" applyNumberFormat="1" applyFont="1" applyBorder="1" applyProtection="1">
      <protection locked="0"/>
    </xf>
    <xf numFmtId="0" fontId="6" fillId="0" borderId="0" xfId="0" applyFont="1"/>
    <xf numFmtId="3" fontId="1" fillId="0" borderId="0" xfId="0" applyNumberFormat="1" applyFont="1" applyBorder="1"/>
    <xf numFmtId="164" fontId="5" fillId="0" borderId="0" xfId="0" applyNumberFormat="1" applyFont="1"/>
    <xf numFmtId="165" fontId="1" fillId="0" borderId="0" xfId="0" applyNumberFormat="1" applyFont="1" applyBorder="1"/>
    <xf numFmtId="3" fontId="1" fillId="0" borderId="0" xfId="0" applyNumberFormat="1" applyFont="1"/>
    <xf numFmtId="0" fontId="7" fillId="0" borderId="0" xfId="0" applyFont="1"/>
    <xf numFmtId="164" fontId="1" fillId="0" borderId="0" xfId="0" applyNumberFormat="1" applyFont="1"/>
    <xf numFmtId="0" fontId="4" fillId="0" borderId="0" xfId="0" applyFont="1" applyBorder="1"/>
    <xf numFmtId="0" fontId="11" fillId="0" borderId="0" xfId="0" applyFont="1"/>
    <xf numFmtId="0" fontId="12" fillId="0" borderId="0" xfId="0" applyFont="1"/>
    <xf numFmtId="0" fontId="12" fillId="0" borderId="0" xfId="0" applyFont="1" applyBorder="1"/>
    <xf numFmtId="0" fontId="10" fillId="0" borderId="0" xfId="0" applyFont="1" applyAlignment="1"/>
    <xf numFmtId="0" fontId="0" fillId="0" borderId="0" xfId="0" applyAlignment="1"/>
  </cellXfs>
  <cellStyles count="2">
    <cellStyle name="Normal" xfId="0" builtinId="0"/>
    <cellStyle name="Percent" xfId="1"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41"/>
  <sheetViews>
    <sheetView workbookViewId="0">
      <selection activeCell="C32" sqref="C32"/>
    </sheetView>
  </sheetViews>
  <sheetFormatPr baseColWidth="10" defaultColWidth="9.5" defaultRowHeight="15"/>
  <cols>
    <col min="1" max="1" width="27.1640625" style="3" customWidth="1"/>
    <col min="2" max="6" width="9.5" style="3"/>
    <col min="7" max="7" width="11.5" style="3" customWidth="1"/>
    <col min="8" max="10" width="9.5" style="3"/>
  </cols>
  <sheetData>
    <row r="1" spans="1:11" s="3" customFormat="1">
      <c r="A1" s="1" t="s">
        <v>39</v>
      </c>
      <c r="B1" s="1"/>
      <c r="C1" s="1"/>
      <c r="D1" s="1"/>
      <c r="E1" s="1"/>
      <c r="F1" s="1"/>
      <c r="G1" s="1"/>
      <c r="H1" s="1"/>
      <c r="I1" s="1"/>
      <c r="J1" s="1"/>
      <c r="K1" s="2"/>
    </row>
    <row r="2" spans="1:11" s="3" customFormat="1">
      <c r="A2" s="4"/>
      <c r="B2" s="5">
        <v>1984</v>
      </c>
      <c r="C2" s="5">
        <v>1988</v>
      </c>
      <c r="D2" s="5">
        <v>1992</v>
      </c>
      <c r="E2" s="5">
        <v>1996</v>
      </c>
      <c r="F2" s="5">
        <v>2000</v>
      </c>
      <c r="G2" s="6">
        <v>2004</v>
      </c>
      <c r="H2" s="2">
        <v>2008</v>
      </c>
      <c r="I2" s="2">
        <v>2010</v>
      </c>
      <c r="J2" s="2">
        <v>2011</v>
      </c>
      <c r="K2" s="2">
        <v>2012</v>
      </c>
    </row>
    <row r="3" spans="1:11" s="3" customFormat="1">
      <c r="A3" s="4" t="s">
        <v>0</v>
      </c>
      <c r="B3" s="4"/>
      <c r="C3" s="4"/>
      <c r="D3" s="7"/>
      <c r="E3" s="4">
        <v>131.6</v>
      </c>
      <c r="F3" s="4">
        <v>151.5</v>
      </c>
      <c r="G3" s="4">
        <v>222.9</v>
      </c>
      <c r="H3" s="2">
        <v>167.6</v>
      </c>
      <c r="I3" s="2">
        <v>163.5</v>
      </c>
      <c r="J3" s="2">
        <v>180.3</v>
      </c>
      <c r="K3" s="2">
        <v>181.4</v>
      </c>
    </row>
    <row r="4" spans="1:11" s="3" customFormat="1">
      <c r="A4" s="4" t="s">
        <v>1</v>
      </c>
      <c r="B4" s="4">
        <v>98.1</v>
      </c>
      <c r="C4" s="4">
        <v>135</v>
      </c>
      <c r="D4" s="7">
        <v>114</v>
      </c>
      <c r="E4" s="4" t="s">
        <v>2</v>
      </c>
      <c r="F4" s="4"/>
      <c r="G4" s="4"/>
      <c r="H4" s="2"/>
      <c r="I4" s="2"/>
      <c r="J4" s="2"/>
      <c r="K4" s="2"/>
    </row>
    <row r="5" spans="1:11" s="3" customFormat="1">
      <c r="A5" s="4" t="s">
        <v>3</v>
      </c>
      <c r="B5" s="4">
        <v>11.8</v>
      </c>
      <c r="C5" s="4">
        <v>19.600000000000001</v>
      </c>
      <c r="D5" s="8">
        <v>32.799999999999997</v>
      </c>
      <c r="E5" s="4">
        <v>43.6</v>
      </c>
      <c r="F5" s="4">
        <v>122.5</v>
      </c>
      <c r="G5" s="4">
        <v>129.80000000000001</v>
      </c>
      <c r="H5" s="2">
        <v>148.80000000000001</v>
      </c>
      <c r="I5" s="2">
        <v>152.1</v>
      </c>
      <c r="J5" s="2">
        <v>153.1</v>
      </c>
      <c r="K5" s="2">
        <v>146.5</v>
      </c>
    </row>
    <row r="6" spans="1:11" s="3" customFormat="1">
      <c r="A6" s="4" t="s">
        <v>4</v>
      </c>
      <c r="B6" s="4">
        <v>102</v>
      </c>
      <c r="C6" s="4">
        <v>126.4</v>
      </c>
      <c r="D6" s="7">
        <v>176.6</v>
      </c>
      <c r="E6" s="4">
        <v>140.5</v>
      </c>
      <c r="F6" s="4" t="s">
        <v>5</v>
      </c>
      <c r="G6" s="4"/>
      <c r="H6" s="2"/>
      <c r="I6" s="2"/>
      <c r="J6" s="2"/>
      <c r="K6" s="2"/>
    </row>
    <row r="7" spans="1:11" s="3" customFormat="1">
      <c r="A7" s="4" t="s">
        <v>6</v>
      </c>
      <c r="B7" s="4">
        <v>13.4</v>
      </c>
      <c r="C7" s="4">
        <v>16.8</v>
      </c>
      <c r="D7" s="9">
        <v>21</v>
      </c>
      <c r="E7" s="10">
        <v>56.5</v>
      </c>
      <c r="F7" s="10">
        <v>72.2</v>
      </c>
      <c r="G7" s="10">
        <v>120.8</v>
      </c>
      <c r="H7" s="2">
        <v>113.3</v>
      </c>
      <c r="I7" s="11">
        <v>91.9</v>
      </c>
      <c r="J7" s="2">
        <v>91.9</v>
      </c>
      <c r="K7" s="2">
        <v>85.9</v>
      </c>
    </row>
    <row r="8" spans="1:11" s="3" customFormat="1">
      <c r="A8" s="4" t="s">
        <v>7</v>
      </c>
      <c r="B8" s="4">
        <v>36</v>
      </c>
      <c r="C8" s="4">
        <v>53</v>
      </c>
      <c r="D8" s="12">
        <v>45.4</v>
      </c>
      <c r="E8" s="4">
        <v>45.6</v>
      </c>
      <c r="F8" s="4">
        <v>60.8</v>
      </c>
      <c r="G8" s="4">
        <v>60.8</v>
      </c>
      <c r="H8" s="2">
        <v>78.599999999999994</v>
      </c>
      <c r="I8" s="13">
        <v>75</v>
      </c>
      <c r="J8" s="2">
        <v>70.599999999999994</v>
      </c>
      <c r="K8" s="2">
        <v>67.400000000000006</v>
      </c>
    </row>
    <row r="9" spans="1:11" s="3" customFormat="1">
      <c r="A9" s="4" t="s">
        <v>8</v>
      </c>
      <c r="B9" s="4">
        <v>48.7</v>
      </c>
      <c r="C9" s="4">
        <v>60.9</v>
      </c>
      <c r="D9" s="12">
        <v>76.099999999999994</v>
      </c>
      <c r="E9" s="10">
        <v>72.7</v>
      </c>
      <c r="F9" s="10">
        <v>70.599999999999994</v>
      </c>
      <c r="G9" s="10">
        <v>68.400000000000006</v>
      </c>
      <c r="H9" s="2">
        <v>67.2</v>
      </c>
      <c r="I9" s="2">
        <v>51.9</v>
      </c>
      <c r="J9" s="2">
        <v>50.1</v>
      </c>
      <c r="K9" s="14">
        <v>48.7</v>
      </c>
    </row>
    <row r="10" spans="1:11" s="3" customFormat="1">
      <c r="A10" s="4" t="s">
        <v>9</v>
      </c>
      <c r="B10" s="15">
        <v>13.7</v>
      </c>
      <c r="C10" s="4">
        <v>15.9</v>
      </c>
      <c r="D10" s="12">
        <v>18.8</v>
      </c>
      <c r="E10" s="10">
        <v>21.6</v>
      </c>
      <c r="F10" s="10">
        <v>30.6</v>
      </c>
      <c r="G10" s="10">
        <v>39.6</v>
      </c>
      <c r="H10" s="2">
        <v>57.1</v>
      </c>
      <c r="I10" s="2">
        <v>45.3</v>
      </c>
      <c r="J10" s="2">
        <v>42.8</v>
      </c>
      <c r="K10" s="2">
        <v>45.7</v>
      </c>
    </row>
    <row r="11" spans="1:11" s="3" customFormat="1">
      <c r="A11" s="4" t="s">
        <v>10</v>
      </c>
      <c r="B11" s="4">
        <v>13.2</v>
      </c>
      <c r="C11" s="4">
        <v>15.5</v>
      </c>
      <c r="D11" s="12">
        <v>18.3</v>
      </c>
      <c r="E11" s="10">
        <v>21.2</v>
      </c>
      <c r="F11" s="10">
        <v>38.9</v>
      </c>
      <c r="G11" s="10">
        <v>56.6</v>
      </c>
      <c r="H11" s="2">
        <v>61.9</v>
      </c>
      <c r="I11" s="11">
        <v>50.436254485488753</v>
      </c>
      <c r="J11" s="11">
        <v>43.408273335889604</v>
      </c>
      <c r="K11" s="11">
        <v>44.026339837154431</v>
      </c>
    </row>
    <row r="12" spans="1:11" s="3" customFormat="1">
      <c r="A12" s="4" t="s">
        <v>11</v>
      </c>
      <c r="B12" s="4">
        <v>5.8</v>
      </c>
      <c r="C12" s="4">
        <v>7.2</v>
      </c>
      <c r="D12" s="12">
        <v>9.1</v>
      </c>
      <c r="E12" s="4">
        <v>21.4</v>
      </c>
      <c r="F12" s="4">
        <v>22.3</v>
      </c>
      <c r="G12" s="4">
        <v>23.1</v>
      </c>
      <c r="H12" s="2">
        <v>28.5</v>
      </c>
      <c r="I12" s="2">
        <v>29.8</v>
      </c>
      <c r="J12" s="2">
        <v>32.1</v>
      </c>
      <c r="K12" s="16">
        <v>32.1</v>
      </c>
    </row>
    <row r="13" spans="1:11" s="18" customFormat="1">
      <c r="A13" s="4" t="s">
        <v>12</v>
      </c>
      <c r="B13" s="17">
        <v>25</v>
      </c>
      <c r="C13" s="4">
        <v>31.2</v>
      </c>
      <c r="D13" s="12">
        <v>39</v>
      </c>
      <c r="E13" s="10">
        <v>45.3</v>
      </c>
      <c r="F13" s="10">
        <v>52.2</v>
      </c>
      <c r="G13" s="10">
        <v>51.4</v>
      </c>
      <c r="H13" s="2">
        <v>50.6</v>
      </c>
      <c r="I13" s="2">
        <v>36.799999999999997</v>
      </c>
      <c r="J13" s="2">
        <v>30.8</v>
      </c>
      <c r="K13" s="16">
        <v>30.8</v>
      </c>
    </row>
    <row r="14" spans="1:11" s="3" customFormat="1">
      <c r="A14" s="4" t="s">
        <v>13</v>
      </c>
      <c r="B14" s="4"/>
      <c r="C14" s="4"/>
      <c r="D14" s="12"/>
      <c r="E14" s="4">
        <v>4.8</v>
      </c>
      <c r="F14" s="4">
        <v>15.3</v>
      </c>
      <c r="G14" s="4">
        <v>21.1</v>
      </c>
      <c r="H14" s="2">
        <v>34.799999999999997</v>
      </c>
      <c r="I14" s="2">
        <v>31.7</v>
      </c>
      <c r="J14" s="2">
        <v>27.9</v>
      </c>
      <c r="K14" s="2">
        <v>28.7</v>
      </c>
    </row>
    <row r="15" spans="1:11" s="3" customFormat="1">
      <c r="A15" s="4" t="s">
        <v>14</v>
      </c>
      <c r="B15" s="4">
        <v>12.3</v>
      </c>
      <c r="C15" s="4">
        <v>15.4</v>
      </c>
      <c r="D15" s="12">
        <v>19.2</v>
      </c>
      <c r="E15" s="10">
        <v>22.8</v>
      </c>
      <c r="F15" s="10">
        <v>28.7</v>
      </c>
      <c r="G15" s="10">
        <v>34.4</v>
      </c>
      <c r="H15" s="2">
        <v>40.1</v>
      </c>
      <c r="I15" s="11">
        <v>32.673567122263314</v>
      </c>
      <c r="J15" s="11">
        <v>28.120706959114266</v>
      </c>
      <c r="K15" s="11">
        <v>28.521102220838333</v>
      </c>
    </row>
    <row r="16" spans="1:11" s="3" customFormat="1">
      <c r="A16" s="4" t="s">
        <v>15</v>
      </c>
      <c r="B16" s="4">
        <v>7.6</v>
      </c>
      <c r="C16" s="4">
        <v>9.5</v>
      </c>
      <c r="D16" s="12">
        <v>11.9</v>
      </c>
      <c r="E16" s="10">
        <v>17.600000000000001</v>
      </c>
      <c r="F16" s="10">
        <v>24.5</v>
      </c>
      <c r="G16" s="10">
        <v>31.4</v>
      </c>
      <c r="H16" s="2">
        <v>35.5</v>
      </c>
      <c r="I16" s="12">
        <v>28.92547712818822</v>
      </c>
      <c r="J16" s="12">
        <v>24.89489020071213</v>
      </c>
      <c r="K16" s="12">
        <v>25.249354833909248</v>
      </c>
    </row>
    <row r="17" spans="1:11" s="3" customFormat="1">
      <c r="A17" s="4" t="s">
        <v>16</v>
      </c>
      <c r="B17" s="4">
        <v>1.6</v>
      </c>
      <c r="C17" s="4">
        <v>2</v>
      </c>
      <c r="D17" s="12">
        <v>2.5</v>
      </c>
      <c r="E17" s="19">
        <v>12</v>
      </c>
      <c r="F17" s="19">
        <v>15</v>
      </c>
      <c r="G17" s="19">
        <v>17.899999999999999</v>
      </c>
      <c r="H17" s="2">
        <v>23.3</v>
      </c>
      <c r="I17" s="2">
        <v>27.3</v>
      </c>
      <c r="J17" s="2">
        <v>24.8</v>
      </c>
      <c r="K17" s="16">
        <v>24.8</v>
      </c>
    </row>
    <row r="18" spans="1:11" s="3" customFormat="1">
      <c r="A18" s="4" t="s">
        <v>17</v>
      </c>
      <c r="B18" s="4">
        <v>4.5</v>
      </c>
      <c r="C18" s="4">
        <v>5.6</v>
      </c>
      <c r="D18" s="12">
        <v>7</v>
      </c>
      <c r="E18" s="4">
        <v>8.6999999999999993</v>
      </c>
      <c r="F18" s="4">
        <v>16.3</v>
      </c>
      <c r="G18" s="4">
        <v>23.8</v>
      </c>
      <c r="H18" s="2">
        <v>23.2</v>
      </c>
      <c r="I18" s="2">
        <v>16.5</v>
      </c>
      <c r="J18" s="2">
        <v>17.2</v>
      </c>
      <c r="K18" s="2">
        <v>16.5</v>
      </c>
    </row>
    <row r="19" spans="1:11" s="3" customFormat="1">
      <c r="A19" s="4" t="s">
        <v>18</v>
      </c>
      <c r="B19" s="4"/>
      <c r="C19" s="4"/>
      <c r="D19" s="12"/>
      <c r="E19" s="4"/>
      <c r="F19" s="4"/>
      <c r="G19" s="4">
        <v>9.9</v>
      </c>
      <c r="H19" s="2">
        <v>11.7</v>
      </c>
      <c r="I19" s="2">
        <v>12.4</v>
      </c>
      <c r="J19" s="2">
        <v>12.1</v>
      </c>
      <c r="K19" s="16">
        <v>12.1</v>
      </c>
    </row>
    <row r="20" spans="1:11" s="3" customFormat="1">
      <c r="A20" s="4" t="s">
        <v>19</v>
      </c>
      <c r="B20" s="4">
        <v>2.2000000000000002</v>
      </c>
      <c r="C20" s="4">
        <v>2.7</v>
      </c>
      <c r="D20" s="12">
        <v>3.4</v>
      </c>
      <c r="E20" s="15">
        <v>2.4</v>
      </c>
      <c r="F20" s="15">
        <v>16</v>
      </c>
      <c r="G20" s="15">
        <v>16.7</v>
      </c>
      <c r="H20" s="2">
        <v>16.3</v>
      </c>
      <c r="I20" s="11">
        <v>13.281275413787831</v>
      </c>
      <c r="J20" s="11">
        <v>11.430611556946698</v>
      </c>
      <c r="K20" s="11">
        <v>11.593365740640021</v>
      </c>
    </row>
    <row r="21" spans="1:11" s="3" customFormat="1">
      <c r="A21" s="4" t="s">
        <v>20</v>
      </c>
      <c r="B21" s="4"/>
      <c r="C21" s="4"/>
      <c r="D21" s="12"/>
      <c r="E21" s="4"/>
      <c r="F21" s="4"/>
      <c r="G21" s="4">
        <v>6.6</v>
      </c>
      <c r="H21" s="2">
        <v>12.3</v>
      </c>
      <c r="I21" s="2">
        <v>11.9</v>
      </c>
      <c r="J21" s="2">
        <v>11.2</v>
      </c>
      <c r="K21" s="16">
        <v>11.2</v>
      </c>
    </row>
    <row r="22" spans="1:11" s="3" customFormat="1">
      <c r="A22" s="4" t="s">
        <v>21</v>
      </c>
      <c r="B22" s="4"/>
      <c r="C22" s="4"/>
      <c r="D22" s="12"/>
      <c r="E22" s="4"/>
      <c r="F22" s="4"/>
      <c r="G22" s="4">
        <v>9.3000000000000007</v>
      </c>
      <c r="H22" s="2">
        <v>10.7</v>
      </c>
      <c r="I22" s="2">
        <v>9.8000000000000007</v>
      </c>
      <c r="J22" s="11">
        <f>I22*0.98</f>
        <v>9.604000000000001</v>
      </c>
      <c r="K22" s="20">
        <f>J22*0.98</f>
        <v>9.4119200000000003</v>
      </c>
    </row>
    <row r="23" spans="1:11" s="3" customFormat="1">
      <c r="A23" s="4" t="s">
        <v>22</v>
      </c>
      <c r="B23" s="4"/>
      <c r="C23" s="4"/>
      <c r="D23" s="12"/>
      <c r="E23" s="4"/>
      <c r="F23" s="4"/>
      <c r="G23" s="4">
        <v>5.6</v>
      </c>
      <c r="H23" s="2">
        <v>6.3</v>
      </c>
      <c r="I23" s="2">
        <v>8.3000000000000007</v>
      </c>
      <c r="J23" s="2">
        <v>9.1</v>
      </c>
      <c r="K23" s="16">
        <v>9.1</v>
      </c>
    </row>
    <row r="24" spans="1:11" s="3" customFormat="1">
      <c r="A24" s="4" t="s">
        <v>23</v>
      </c>
      <c r="B24" s="4"/>
      <c r="C24" s="4"/>
      <c r="D24" s="12"/>
      <c r="E24" s="4"/>
      <c r="F24" s="4"/>
      <c r="G24" s="4">
        <v>7.5</v>
      </c>
      <c r="H24" s="2">
        <v>7.7</v>
      </c>
      <c r="I24" s="2">
        <v>7.3</v>
      </c>
      <c r="J24" s="2">
        <v>6.7</v>
      </c>
      <c r="K24" s="16">
        <v>6.7</v>
      </c>
    </row>
    <row r="25" spans="1:11" s="3" customFormat="1">
      <c r="A25" s="4" t="s">
        <v>24</v>
      </c>
      <c r="B25" s="4"/>
      <c r="C25" s="4"/>
      <c r="D25" s="12"/>
      <c r="E25" s="4"/>
      <c r="F25" s="4"/>
      <c r="G25" s="4">
        <v>3.6</v>
      </c>
      <c r="H25" s="2">
        <v>8</v>
      </c>
      <c r="I25" s="11">
        <v>6.5184173810001624</v>
      </c>
      <c r="J25" s="11">
        <v>5.6101161015689307</v>
      </c>
      <c r="K25" s="20">
        <v>5.6899954555288446</v>
      </c>
    </row>
    <row r="26" spans="1:11" s="3" customFormat="1">
      <c r="A26" s="4" t="s">
        <v>25</v>
      </c>
      <c r="B26" s="4"/>
      <c r="C26" s="4"/>
      <c r="D26" s="12"/>
      <c r="E26" s="4"/>
      <c r="F26" s="4"/>
      <c r="G26" s="4">
        <v>8.5</v>
      </c>
      <c r="H26" s="2">
        <v>9.1999999999999993</v>
      </c>
      <c r="I26" s="2">
        <v>7.5</v>
      </c>
      <c r="J26" s="2">
        <v>5.4</v>
      </c>
      <c r="K26" s="16">
        <v>5.4</v>
      </c>
    </row>
    <row r="27" spans="1:11" s="3" customFormat="1">
      <c r="A27" s="4" t="s">
        <v>26</v>
      </c>
      <c r="B27" s="4"/>
      <c r="C27" s="4"/>
      <c r="D27" s="12"/>
      <c r="E27" s="4"/>
      <c r="F27" s="4"/>
      <c r="G27" s="4"/>
      <c r="H27" s="2">
        <v>7.1</v>
      </c>
      <c r="I27" s="2">
        <v>6.8</v>
      </c>
      <c r="J27" s="2">
        <v>5</v>
      </c>
      <c r="K27" s="16">
        <v>5</v>
      </c>
    </row>
    <row r="28" spans="1:11" s="3" customFormat="1">
      <c r="A28" s="4" t="s">
        <v>27</v>
      </c>
      <c r="B28" s="5"/>
      <c r="C28" s="19"/>
      <c r="D28" s="12"/>
      <c r="E28" s="4"/>
      <c r="F28" s="4"/>
      <c r="G28" s="4">
        <v>9.9</v>
      </c>
      <c r="H28" s="2">
        <v>3.3</v>
      </c>
      <c r="I28" s="2">
        <v>4.9000000000000004</v>
      </c>
      <c r="J28" s="2">
        <v>4.4000000000000004</v>
      </c>
      <c r="K28" s="16">
        <v>4.4000000000000004</v>
      </c>
    </row>
    <row r="29" spans="1:11" s="3" customFormat="1">
      <c r="A29" s="4" t="s">
        <v>28</v>
      </c>
      <c r="B29" s="4"/>
      <c r="C29" s="4"/>
      <c r="D29" s="12"/>
      <c r="E29" s="4"/>
      <c r="F29" s="4"/>
      <c r="G29" s="4">
        <v>3.6</v>
      </c>
      <c r="H29" s="2">
        <v>5.4</v>
      </c>
      <c r="I29" s="2">
        <v>5.4</v>
      </c>
      <c r="J29" s="2">
        <v>4.3</v>
      </c>
      <c r="K29" s="16">
        <v>4.3</v>
      </c>
    </row>
    <row r="30" spans="1:11" s="3" customFormat="1">
      <c r="A30" s="4" t="s">
        <v>29</v>
      </c>
      <c r="B30" s="4"/>
      <c r="C30" s="4"/>
      <c r="D30" s="12"/>
      <c r="E30" s="4"/>
      <c r="F30" s="4"/>
      <c r="G30" s="4">
        <v>3.6</v>
      </c>
      <c r="H30" s="2">
        <v>3.5</v>
      </c>
      <c r="I30" s="2">
        <v>4.3</v>
      </c>
      <c r="J30" s="2">
        <v>4.0999999999999996</v>
      </c>
      <c r="K30" s="16">
        <v>4.0999999999999996</v>
      </c>
    </row>
    <row r="31" spans="1:11" s="3" customFormat="1">
      <c r="A31" s="4" t="s">
        <v>30</v>
      </c>
      <c r="B31" s="4"/>
      <c r="C31" s="4"/>
      <c r="D31" s="12"/>
      <c r="E31" s="4"/>
      <c r="F31" s="4"/>
      <c r="G31" s="4">
        <v>4.9000000000000004</v>
      </c>
      <c r="H31" s="2">
        <v>5.5</v>
      </c>
      <c r="I31" s="2">
        <v>4.5999999999999996</v>
      </c>
      <c r="J31" s="2">
        <v>3.7</v>
      </c>
      <c r="K31" s="16">
        <v>3.7</v>
      </c>
    </row>
    <row r="32" spans="1:11" s="3" customFormat="1">
      <c r="A32" s="4" t="s">
        <v>31</v>
      </c>
      <c r="B32" s="4"/>
      <c r="C32" s="4"/>
      <c r="D32" s="12"/>
      <c r="E32" s="4"/>
      <c r="F32" s="4"/>
      <c r="G32" s="4">
        <v>6.2</v>
      </c>
      <c r="H32" s="2">
        <v>6.4</v>
      </c>
      <c r="I32" s="2">
        <v>3.6</v>
      </c>
      <c r="J32" s="2">
        <v>3.4</v>
      </c>
      <c r="K32" s="16">
        <v>3.4</v>
      </c>
    </row>
    <row r="33" spans="1:11" s="3" customFormat="1">
      <c r="A33" s="4" t="s">
        <v>32</v>
      </c>
      <c r="B33" s="4"/>
      <c r="C33" s="4"/>
      <c r="D33" s="12"/>
      <c r="E33" s="4"/>
      <c r="F33" s="4"/>
      <c r="G33" s="4">
        <v>6.7</v>
      </c>
      <c r="H33" s="2">
        <v>5.5</v>
      </c>
      <c r="I33" s="2"/>
      <c r="J33" s="2"/>
      <c r="K33" s="16"/>
    </row>
    <row r="34" spans="1:11" s="3" customFormat="1">
      <c r="A34" s="4" t="s">
        <v>33</v>
      </c>
      <c r="B34" s="4"/>
      <c r="C34" s="4"/>
      <c r="D34" s="12"/>
      <c r="E34" s="4"/>
      <c r="F34" s="4"/>
      <c r="G34" s="4"/>
      <c r="H34" s="2">
        <v>5.4</v>
      </c>
      <c r="I34" s="2">
        <v>3.8</v>
      </c>
      <c r="J34" s="2">
        <v>2.6</v>
      </c>
      <c r="K34" s="16">
        <v>2.6</v>
      </c>
    </row>
    <row r="35" spans="1:11" s="3" customFormat="1">
      <c r="A35" s="4" t="s">
        <v>34</v>
      </c>
      <c r="B35" s="4"/>
      <c r="C35" s="4"/>
      <c r="D35" s="12"/>
      <c r="E35" s="4"/>
      <c r="F35" s="4"/>
      <c r="G35" s="4">
        <v>2.8</v>
      </c>
      <c r="H35" s="2">
        <v>3.7</v>
      </c>
      <c r="I35" s="2"/>
      <c r="J35" s="2"/>
      <c r="K35" s="16"/>
    </row>
    <row r="36" spans="1:11" s="23" customFormat="1">
      <c r="A36" s="5" t="s">
        <v>35</v>
      </c>
      <c r="B36" s="4">
        <v>771</v>
      </c>
      <c r="C36" s="4">
        <v>775</v>
      </c>
      <c r="D36" s="21">
        <v>993.9</v>
      </c>
      <c r="E36" s="5">
        <v>1011.2</v>
      </c>
      <c r="F36" s="5">
        <v>1300</v>
      </c>
      <c r="G36" s="19">
        <v>1847.1</v>
      </c>
      <c r="H36" s="1">
        <v>2394</v>
      </c>
      <c r="I36" s="5">
        <v>2135</v>
      </c>
      <c r="J36" s="19">
        <v>2088</v>
      </c>
      <c r="K36" s="22">
        <v>2100</v>
      </c>
    </row>
    <row r="37" spans="1:11" s="23" customFormat="1">
      <c r="A37" s="5" t="s">
        <v>36</v>
      </c>
      <c r="B37" s="12">
        <v>36.939040207522694</v>
      </c>
      <c r="C37" s="12">
        <v>48.425806451612907</v>
      </c>
      <c r="D37" s="9">
        <v>41.46292383539592</v>
      </c>
      <c r="E37" s="9">
        <v>39.685522151898731</v>
      </c>
      <c r="F37" s="9">
        <v>32.061538461538461</v>
      </c>
      <c r="G37" s="9">
        <v>29.337881002652807</v>
      </c>
      <c r="H37" s="24">
        <v>21.232247284878866</v>
      </c>
      <c r="I37" s="9">
        <v>22.599531615925056</v>
      </c>
      <c r="J37" s="9">
        <v>23.75</v>
      </c>
      <c r="K37" s="24">
        <v>22.914285714285715</v>
      </c>
    </row>
    <row r="38" spans="1:11" s="23" customFormat="1">
      <c r="A38" s="5" t="s">
        <v>37</v>
      </c>
      <c r="B38" s="12">
        <v>425.12831382761271</v>
      </c>
      <c r="C38" s="12">
        <v>720.49232049947989</v>
      </c>
      <c r="D38" s="9">
        <v>571.16668038856324</v>
      </c>
      <c r="E38" s="9">
        <v>528.30773579579602</v>
      </c>
      <c r="F38" s="9">
        <v>354.60804733727809</v>
      </c>
      <c r="G38" s="9">
        <v>298.57695242288617</v>
      </c>
      <c r="H38" s="24">
        <v>157.99375562269648</v>
      </c>
      <c r="I38" s="9">
        <v>178.91975494847222</v>
      </c>
      <c r="J38" s="9">
        <v>186.88000946844582</v>
      </c>
      <c r="K38" s="24">
        <v>178.27453514739224</v>
      </c>
    </row>
    <row r="39" spans="1:11" s="23" customFormat="1">
      <c r="A39" s="4"/>
      <c r="B39" s="4"/>
      <c r="C39" s="4"/>
      <c r="D39" s="4"/>
      <c r="E39" s="4"/>
      <c r="F39" s="4"/>
      <c r="G39" s="25"/>
    </row>
    <row r="41" spans="1:11">
      <c r="A41" s="3" t="s">
        <v>38</v>
      </c>
    </row>
  </sheetData>
  <phoneticPr fontId="2"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41"/>
  <sheetViews>
    <sheetView tabSelected="1" workbookViewId="0">
      <selection activeCell="N12" sqref="N12"/>
    </sheetView>
  </sheetViews>
  <sheetFormatPr baseColWidth="10" defaultRowHeight="15"/>
  <cols>
    <col min="1" max="6" width="10.83203125" style="27"/>
    <col min="7" max="7" width="11.5" style="27" customWidth="1"/>
    <col min="8" max="16384" width="10.83203125" style="27"/>
  </cols>
  <sheetData>
    <row r="1" spans="1:13" s="26" customFormat="1" ht="16">
      <c r="A1" s="29" t="s">
        <v>40</v>
      </c>
      <c r="B1" s="29"/>
      <c r="C1" s="29"/>
      <c r="D1" s="29"/>
      <c r="E1" s="29"/>
      <c r="F1" s="29"/>
      <c r="G1" s="29"/>
      <c r="H1" s="29"/>
      <c r="I1" s="30"/>
      <c r="J1" s="30"/>
      <c r="K1" s="30"/>
      <c r="L1" s="30"/>
      <c r="M1" s="30"/>
    </row>
    <row r="2" spans="1:13">
      <c r="A2" s="4"/>
      <c r="B2" s="5">
        <v>1984</v>
      </c>
      <c r="C2" s="5">
        <v>1988</v>
      </c>
      <c r="D2" s="5">
        <v>1992</v>
      </c>
      <c r="E2" s="5">
        <v>1996</v>
      </c>
      <c r="F2" s="5">
        <v>2000</v>
      </c>
      <c r="G2" s="6">
        <v>2004</v>
      </c>
      <c r="H2" s="2">
        <v>2008</v>
      </c>
      <c r="I2" s="2">
        <v>2010</v>
      </c>
      <c r="J2" s="2">
        <v>2011</v>
      </c>
      <c r="K2" s="2">
        <v>2012</v>
      </c>
    </row>
    <row r="3" spans="1:13">
      <c r="A3" s="4" t="s">
        <v>0</v>
      </c>
      <c r="B3" s="12"/>
      <c r="C3" s="12"/>
      <c r="D3" s="12"/>
      <c r="E3" s="12">
        <f>131.6/E36*100</f>
        <v>13.014240506329115</v>
      </c>
      <c r="F3" s="12">
        <f>151.5/F36*100</f>
        <v>11.653846153846153</v>
      </c>
      <c r="G3" s="12">
        <f>222.9/G36*100</f>
        <v>12.067565372746468</v>
      </c>
      <c r="H3" s="11">
        <f>167.6/H36*100</f>
        <v>7.0008354218880537</v>
      </c>
      <c r="I3" s="11">
        <f>163.5/I36*100</f>
        <v>7.6580796252927392</v>
      </c>
      <c r="J3" s="11">
        <f>180.3/J36*100</f>
        <v>8.6350574712643677</v>
      </c>
      <c r="K3" s="11">
        <f>181.4/K36*100</f>
        <v>8.6380952380952376</v>
      </c>
    </row>
    <row r="4" spans="1:13">
      <c r="A4" s="4" t="s">
        <v>1</v>
      </c>
      <c r="B4" s="12">
        <f>98.1/B36*100</f>
        <v>12.72373540856031</v>
      </c>
      <c r="C4" s="12">
        <f>135/C36*100</f>
        <v>17.419354838709676</v>
      </c>
      <c r="D4" s="12">
        <f>114/D36*100</f>
        <v>11.469966797464535</v>
      </c>
      <c r="E4" s="12" t="s">
        <v>2</v>
      </c>
      <c r="F4" s="12"/>
      <c r="G4" s="12"/>
      <c r="H4" s="11"/>
      <c r="I4" s="11"/>
      <c r="J4" s="11"/>
      <c r="K4" s="11"/>
    </row>
    <row r="5" spans="1:13">
      <c r="A5" s="4" t="s">
        <v>3</v>
      </c>
      <c r="B5" s="12">
        <f>11.8/B36*100</f>
        <v>1.5304798962386512</v>
      </c>
      <c r="C5" s="12">
        <f>19.6/C36*100</f>
        <v>2.5290322580645164</v>
      </c>
      <c r="D5" s="10">
        <f>32.8/D36*100</f>
        <v>3.3001307978669883</v>
      </c>
      <c r="E5" s="12">
        <f>43.6/E36*100</f>
        <v>4.3117088607594933</v>
      </c>
      <c r="F5" s="12">
        <f>122.5/F36*100</f>
        <v>9.4230769230769234</v>
      </c>
      <c r="G5" s="12">
        <f>129.8/G36*100</f>
        <v>7.0272318769963729</v>
      </c>
      <c r="H5" s="11">
        <f>148.8/H36*100</f>
        <v>6.215538847117795</v>
      </c>
      <c r="I5" s="11">
        <f>152.1/I36*100</f>
        <v>7.1241217798594842</v>
      </c>
      <c r="J5" s="11">
        <f>153.1/J36*100</f>
        <v>7.3323754789272026</v>
      </c>
      <c r="K5" s="11">
        <f>146.5/K36*100</f>
        <v>6.9761904761904763</v>
      </c>
    </row>
    <row r="6" spans="1:13">
      <c r="A6" s="4" t="s">
        <v>4</v>
      </c>
      <c r="B6" s="12">
        <f>102/B36*100</f>
        <v>13.229571984435799</v>
      </c>
      <c r="C6" s="12">
        <f>126.4/C36*100</f>
        <v>16.309677419354841</v>
      </c>
      <c r="D6" s="12">
        <f>176.6/D36*100</f>
        <v>17.768387161686285</v>
      </c>
      <c r="E6" s="12">
        <f>140.5/E36*100</f>
        <v>13.894382911392405</v>
      </c>
      <c r="F6" s="12" t="s">
        <v>5</v>
      </c>
      <c r="G6" s="12"/>
      <c r="H6" s="11"/>
      <c r="I6" s="11"/>
      <c r="J6" s="11"/>
      <c r="K6" s="11"/>
    </row>
    <row r="7" spans="1:13">
      <c r="A7" s="4" t="s">
        <v>6</v>
      </c>
      <c r="B7" s="12">
        <f>13.4/B36*100</f>
        <v>1.7380025940337225</v>
      </c>
      <c r="C7" s="12">
        <f>16.8/C36*100</f>
        <v>2.1677419354838712</v>
      </c>
      <c r="D7" s="9">
        <f>21/D36*100</f>
        <v>2.1128886205855721</v>
      </c>
      <c r="E7" s="10">
        <f>56.5/E36*100</f>
        <v>5.5874208860759493</v>
      </c>
      <c r="F7" s="10">
        <f>72.2/F36*100</f>
        <v>5.5538461538461545</v>
      </c>
      <c r="G7" s="10">
        <f>120.8/G36*100</f>
        <v>6.5399815927670399</v>
      </c>
      <c r="H7" s="11">
        <f>113.3/H36*100</f>
        <v>4.7326649958228906</v>
      </c>
      <c r="I7" s="11">
        <f>91.9/I36*100</f>
        <v>4.3044496487119446</v>
      </c>
      <c r="J7" s="11">
        <f>91.9/J36*100</f>
        <v>4.4013409961685825</v>
      </c>
      <c r="K7" s="11">
        <f>85.9/K36*100</f>
        <v>4.090476190476191</v>
      </c>
    </row>
    <row r="8" spans="1:13">
      <c r="A8" s="4" t="s">
        <v>7</v>
      </c>
      <c r="B8" s="12">
        <f>36/B36*100</f>
        <v>4.6692607003891053</v>
      </c>
      <c r="C8" s="12">
        <f>53/C36*100</f>
        <v>6.838709677419355</v>
      </c>
      <c r="D8" s="12">
        <f>45.4/D36*100</f>
        <v>4.5678639702183315</v>
      </c>
      <c r="E8" s="12">
        <f>45.6/E36*100</f>
        <v>4.5094936708860756</v>
      </c>
      <c r="F8" s="12">
        <f>60.8/F36*100</f>
        <v>4.6769230769230763</v>
      </c>
      <c r="G8" s="12">
        <f>60.8/G36*100</f>
        <v>3.2916463645714904</v>
      </c>
      <c r="H8" s="11">
        <f>78.6/H36*100</f>
        <v>3.2832080200501252</v>
      </c>
      <c r="I8" s="13">
        <f>75/I36*100</f>
        <v>3.5128805620608898</v>
      </c>
      <c r="J8" s="11">
        <f>70.6/J36*100</f>
        <v>3.3812260536398462</v>
      </c>
      <c r="K8" s="11">
        <f>67.4/K36*100</f>
        <v>3.2095238095238101</v>
      </c>
    </row>
    <row r="9" spans="1:13">
      <c r="A9" s="4" t="s">
        <v>8</v>
      </c>
      <c r="B9" s="12">
        <f>48.7/B36*100</f>
        <v>6.3164721141374836</v>
      </c>
      <c r="C9" s="12">
        <f>60.9/C36*100</f>
        <v>7.8580645161290317</v>
      </c>
      <c r="D9" s="12">
        <f>76.1/D36*100</f>
        <v>7.6567059060267635</v>
      </c>
      <c r="E9" s="10">
        <f>72.7/E36*100</f>
        <v>7.1894778481012649</v>
      </c>
      <c r="F9" s="10">
        <f>70.6/F36*100</f>
        <v>5.4307692307692301</v>
      </c>
      <c r="G9" s="10">
        <f>68.4/G36*100</f>
        <v>3.7031021601429273</v>
      </c>
      <c r="H9" s="11">
        <f>67.2/H36*100</f>
        <v>2.807017543859649</v>
      </c>
      <c r="I9" s="11">
        <f>51.9/I36*100</f>
        <v>2.4309133489461359</v>
      </c>
      <c r="J9" s="11">
        <f>50.1/J36*100</f>
        <v>2.3994252873563218</v>
      </c>
      <c r="K9" s="14">
        <f>48.7/K36*100</f>
        <v>2.3190476190476192</v>
      </c>
    </row>
    <row r="10" spans="1:13">
      <c r="A10" s="4" t="s">
        <v>9</v>
      </c>
      <c r="B10" s="12">
        <f>13.7/B36*100</f>
        <v>1.7769130998702982</v>
      </c>
      <c r="C10" s="12">
        <f>15.9/C36*100</f>
        <v>2.0516129032258066</v>
      </c>
      <c r="D10" s="12">
        <f>18.8/D36*100</f>
        <v>1.891538384143274</v>
      </c>
      <c r="E10" s="10">
        <f>21.6/E36*100</f>
        <v>2.1360759493670884</v>
      </c>
      <c r="F10" s="10">
        <f>30.6/F36*100</f>
        <v>2.3538461538461539</v>
      </c>
      <c r="G10" s="10">
        <f>39.6/G36*100</f>
        <v>2.1439012506090633</v>
      </c>
      <c r="H10" s="11">
        <f>57.1/H36*100</f>
        <v>2.3851294903926483</v>
      </c>
      <c r="I10" s="11">
        <f>45.3/I36*100</f>
        <v>2.1217798594847777</v>
      </c>
      <c r="J10" s="11">
        <f>42.8/J36*100</f>
        <v>2.0498084291187735</v>
      </c>
      <c r="K10" s="11">
        <f>45.7/K36*100</f>
        <v>2.1761904761904765</v>
      </c>
    </row>
    <row r="11" spans="1:13">
      <c r="A11" s="4" t="s">
        <v>10</v>
      </c>
      <c r="B11" s="12">
        <f>13.2/B36*100</f>
        <v>1.7120622568093384</v>
      </c>
      <c r="C11" s="12">
        <f>15.5/C36*100</f>
        <v>2</v>
      </c>
      <c r="D11" s="12">
        <f>18.3/D36*100</f>
        <v>1.8412315122245699</v>
      </c>
      <c r="E11" s="10">
        <f>21.2/E36*100</f>
        <v>2.096518987341772</v>
      </c>
      <c r="F11" s="10">
        <f>38.9/F36*100</f>
        <v>2.9923076923076919</v>
      </c>
      <c r="G11" s="10">
        <f>56.6/G36*100</f>
        <v>3.0642628985978022</v>
      </c>
      <c r="H11" s="11">
        <f>61.9/H36*100</f>
        <v>2.5856307435254804</v>
      </c>
      <c r="I11" s="11">
        <f>50.4/I36*100</f>
        <v>2.360655737704918</v>
      </c>
      <c r="J11" s="11">
        <f>43.4/J36*100</f>
        <v>2.078544061302682</v>
      </c>
      <c r="K11" s="11">
        <f>44/K36*100</f>
        <v>2.0952380952380953</v>
      </c>
    </row>
    <row r="12" spans="1:13">
      <c r="A12" s="4" t="s">
        <v>11</v>
      </c>
      <c r="B12" s="12">
        <f>5.8/B36*100</f>
        <v>0.75226977950713358</v>
      </c>
      <c r="C12" s="12">
        <f>7.2/C36*100</f>
        <v>0.92903225806451628</v>
      </c>
      <c r="D12" s="12">
        <f>9.1/D36*100</f>
        <v>0.91558506892041458</v>
      </c>
      <c r="E12" s="12">
        <f>21.4/E36*100</f>
        <v>2.1162974683544302</v>
      </c>
      <c r="F12" s="12">
        <f>22.3/F36*100</f>
        <v>1.7153846153846155</v>
      </c>
      <c r="G12" s="12">
        <f>23.1/G36*100</f>
        <v>1.2506090628552868</v>
      </c>
      <c r="H12" s="11">
        <f>28.5/H36*100</f>
        <v>1.1904761904761905</v>
      </c>
      <c r="I12" s="11">
        <f>29.8/I36*100</f>
        <v>1.3957845433255269</v>
      </c>
      <c r="J12" s="11">
        <f>32.1/J36*100</f>
        <v>1.5373563218390804</v>
      </c>
      <c r="K12" s="20">
        <f>32.1/K36*100</f>
        <v>1.5285714285714287</v>
      </c>
    </row>
    <row r="13" spans="1:13">
      <c r="A13" s="4" t="s">
        <v>12</v>
      </c>
      <c r="B13" s="10">
        <f>25/B36*100</f>
        <v>3.2425421530479901</v>
      </c>
      <c r="C13" s="12">
        <f>31.2/C36*100</f>
        <v>4.0258064516129028</v>
      </c>
      <c r="D13" s="12">
        <f>39/D36*100</f>
        <v>3.9239360096589198</v>
      </c>
      <c r="E13" s="10">
        <f>45.3/E36*100</f>
        <v>4.479825949367088</v>
      </c>
      <c r="F13" s="10">
        <f>52.2/F36*100</f>
        <v>4.0153846153846162</v>
      </c>
      <c r="G13" s="10">
        <f>51.4/G36*100</f>
        <v>2.7827405121541875</v>
      </c>
      <c r="H13" s="11">
        <f>50.6/H36*100</f>
        <v>2.1136173767752715</v>
      </c>
      <c r="I13" s="11">
        <f>36.8/I36*100</f>
        <v>1.7236533957845432</v>
      </c>
      <c r="J13" s="11">
        <f>30.8/J36*100</f>
        <v>1.475095785440613</v>
      </c>
      <c r="K13" s="20">
        <f>30.8/K36*100</f>
        <v>1.4666666666666666</v>
      </c>
    </row>
    <row r="14" spans="1:13">
      <c r="A14" s="4" t="s">
        <v>13</v>
      </c>
      <c r="B14" s="12"/>
      <c r="C14" s="12"/>
      <c r="D14" s="12"/>
      <c r="E14" s="12">
        <f>4.8/E36*100</f>
        <v>0.47468354430379739</v>
      </c>
      <c r="F14" s="12">
        <f>15.3/F36*100</f>
        <v>1.176923076923077</v>
      </c>
      <c r="G14" s="12">
        <f>21.1/G36*100</f>
        <v>1.1423312219154351</v>
      </c>
      <c r="H14" s="11">
        <f>34.8/H36*100</f>
        <v>1.4536340852130325</v>
      </c>
      <c r="I14" s="11">
        <f>31.7/I36*100</f>
        <v>1.4847775175644027</v>
      </c>
      <c r="J14" s="11">
        <f>27.9/J36*100</f>
        <v>1.336206896551724</v>
      </c>
      <c r="K14" s="11">
        <f>28.7/K36*100</f>
        <v>1.3666666666666665</v>
      </c>
    </row>
    <row r="15" spans="1:13">
      <c r="A15" s="4" t="s">
        <v>14</v>
      </c>
      <c r="B15" s="12">
        <f>12.3/B36*100</f>
        <v>1.5953307392996112</v>
      </c>
      <c r="C15" s="12">
        <f>15.4/C36*100</f>
        <v>1.9870967741935486</v>
      </c>
      <c r="D15" s="12">
        <f>19.2/D36*100</f>
        <v>1.9317838816782371</v>
      </c>
      <c r="E15" s="10">
        <f>22.8/E36*100</f>
        <v>2.2547468354430378</v>
      </c>
      <c r="F15" s="10">
        <f>28.7/F36*100</f>
        <v>2.2076923076923078</v>
      </c>
      <c r="G15" s="10">
        <f>34.4/G36*100</f>
        <v>1.8623788641654486</v>
      </c>
      <c r="H15" s="11">
        <f>40.1/H36*100</f>
        <v>1.6750208855472015</v>
      </c>
      <c r="I15" s="11">
        <f>32.7/I36*100</f>
        <v>1.5316159250585482</v>
      </c>
      <c r="J15" s="11">
        <f>28.1/J36*100</f>
        <v>1.3457854406130267</v>
      </c>
      <c r="K15" s="11">
        <f>28.5/K36*100</f>
        <v>1.3571428571428572</v>
      </c>
    </row>
    <row r="16" spans="1:13">
      <c r="A16" s="4" t="s">
        <v>15</v>
      </c>
      <c r="B16" s="12">
        <f>7.6/B36*100</f>
        <v>0.98573281452658879</v>
      </c>
      <c r="C16" s="12">
        <f>9.5/C36*100</f>
        <v>1.2258064516129032</v>
      </c>
      <c r="D16" s="12">
        <f>11.9/D36*100</f>
        <v>1.1973035516651576</v>
      </c>
      <c r="E16" s="10">
        <f>17.6/E36*100</f>
        <v>1.740506329113924</v>
      </c>
      <c r="F16" s="10">
        <f>24.5/F36*100</f>
        <v>1.8846153846153846</v>
      </c>
      <c r="G16" s="10">
        <f>31.4/G36*100</f>
        <v>1.6999621027556711</v>
      </c>
      <c r="H16" s="11">
        <f>35.5/H36*100</f>
        <v>1.4828738512949038</v>
      </c>
      <c r="I16" s="12">
        <f>28.9/I36*100</f>
        <v>1.3536299765807962</v>
      </c>
      <c r="J16" s="12">
        <f>24.9/J36*100</f>
        <v>1.1925287356321839</v>
      </c>
      <c r="K16" s="12">
        <f>25.2/K36*100</f>
        <v>1.2</v>
      </c>
    </row>
    <row r="17" spans="1:11">
      <c r="A17" s="4" t="s">
        <v>16</v>
      </c>
      <c r="B17" s="12">
        <f>1.6/B36*100</f>
        <v>0.20752269779507135</v>
      </c>
      <c r="C17" s="12">
        <f>2/C36*100</f>
        <v>0.25806451612903225</v>
      </c>
      <c r="D17" s="12">
        <f>2.5/D36*100</f>
        <v>0.2515343595935205</v>
      </c>
      <c r="E17" s="9">
        <f>12/E36*100</f>
        <v>1.1867088607594936</v>
      </c>
      <c r="F17" s="9">
        <f>15/F36*100</f>
        <v>1.153846153846154</v>
      </c>
      <c r="G17" s="9">
        <f>17.9/G36*100</f>
        <v>0.96908667641167223</v>
      </c>
      <c r="H17" s="11">
        <f>23.3/H36*100</f>
        <v>0.97326649958228917</v>
      </c>
      <c r="I17" s="11">
        <f>27.3/I36*100</f>
        <v>1.2786885245901638</v>
      </c>
      <c r="J17" s="11">
        <f>24.8/J36*100</f>
        <v>1.1877394636015326</v>
      </c>
      <c r="K17" s="20">
        <f>24.8/K36*100</f>
        <v>1.180952380952381</v>
      </c>
    </row>
    <row r="18" spans="1:11">
      <c r="A18" s="4" t="s">
        <v>17</v>
      </c>
      <c r="B18" s="12">
        <f>4.5/B36*100</f>
        <v>0.58365758754863817</v>
      </c>
      <c r="C18" s="12">
        <f>5.6/C36*100</f>
        <v>0.72258064516129028</v>
      </c>
      <c r="D18" s="12">
        <f>7/D36*100</f>
        <v>0.70429620686185734</v>
      </c>
      <c r="E18" s="12">
        <f>8.7/E36*100</f>
        <v>0.86036392405063278</v>
      </c>
      <c r="F18" s="12">
        <f>16.3/F36*100</f>
        <v>1.2538461538461538</v>
      </c>
      <c r="G18" s="12">
        <f>23.8/G36*100</f>
        <v>1.2885063071842349</v>
      </c>
      <c r="H18" s="11">
        <f>23.2/H36*100</f>
        <v>0.96908939014202167</v>
      </c>
      <c r="I18" s="11">
        <f>16.5/I36*100</f>
        <v>0.77283372365339587</v>
      </c>
      <c r="J18" s="11">
        <f>17.2/J36*100</f>
        <v>0.82375478927203072</v>
      </c>
      <c r="K18" s="11">
        <f>16.5/K36*100</f>
        <v>0.78571428571428581</v>
      </c>
    </row>
    <row r="19" spans="1:11">
      <c r="A19" s="4" t="s">
        <v>18</v>
      </c>
      <c r="B19" s="12"/>
      <c r="C19" s="12"/>
      <c r="D19" s="12"/>
      <c r="E19" s="12"/>
      <c r="F19" s="12"/>
      <c r="G19" s="12">
        <f>9.9/G36*100</f>
        <v>0.53597531265226583</v>
      </c>
      <c r="H19" s="11">
        <f>11.7/H36*100</f>
        <v>0.48872180451127822</v>
      </c>
      <c r="I19" s="11">
        <f>12.4/I36*100</f>
        <v>0.58079625292740045</v>
      </c>
      <c r="J19" s="11">
        <f>12.1/J36*100</f>
        <v>0.57950191570881227</v>
      </c>
      <c r="K19" s="20">
        <f>12.1/K36*100</f>
        <v>0.57619047619047614</v>
      </c>
    </row>
    <row r="20" spans="1:11">
      <c r="A20" s="4" t="s">
        <v>19</v>
      </c>
      <c r="B20" s="12">
        <f>2.2/B36*100</f>
        <v>0.28534370946822313</v>
      </c>
      <c r="C20" s="12">
        <f>2.7/C36*100</f>
        <v>0.34838709677419355</v>
      </c>
      <c r="D20" s="12">
        <f>3.4/D36*100</f>
        <v>0.34208672904718784</v>
      </c>
      <c r="E20" s="12">
        <f>2.4/E36*100</f>
        <v>0.23734177215189869</v>
      </c>
      <c r="F20" s="12">
        <f>16/F36*100</f>
        <v>1.2307692307692308</v>
      </c>
      <c r="G20" s="12">
        <f>16.7/G36*100</f>
        <v>0.90411997184776138</v>
      </c>
      <c r="H20" s="11">
        <f>16.3/H36*100</f>
        <v>0.68086883876357562</v>
      </c>
      <c r="I20" s="11">
        <f>13.3/I36*100</f>
        <v>0.62295081967213117</v>
      </c>
      <c r="J20" s="11">
        <f>11.4/J36*100</f>
        <v>0.54597701149425282</v>
      </c>
      <c r="K20" s="11">
        <f>11.6/K36*100</f>
        <v>0.55238095238095242</v>
      </c>
    </row>
    <row r="21" spans="1:11">
      <c r="A21" s="4" t="s">
        <v>20</v>
      </c>
      <c r="B21" s="12"/>
      <c r="C21" s="12"/>
      <c r="D21" s="12"/>
      <c r="E21" s="12"/>
      <c r="F21" s="12"/>
      <c r="G21" s="12">
        <f>6.6/G36*100</f>
        <v>0.35731687510151044</v>
      </c>
      <c r="H21" s="11">
        <f>12.3/H36*100</f>
        <v>0.51378446115288223</v>
      </c>
      <c r="I21" s="11">
        <f>11.9/I36*100</f>
        <v>0.55737704918032793</v>
      </c>
      <c r="J21" s="11">
        <f>11.2/J36*100</f>
        <v>0.53639846743295017</v>
      </c>
      <c r="K21" s="20">
        <f>11.2/K36*100</f>
        <v>0.53333333333333333</v>
      </c>
    </row>
    <row r="22" spans="1:11">
      <c r="A22" s="4" t="s">
        <v>21</v>
      </c>
      <c r="B22" s="12"/>
      <c r="C22" s="12"/>
      <c r="D22" s="12"/>
      <c r="E22" s="12"/>
      <c r="F22" s="12"/>
      <c r="G22" s="12">
        <f>9.3/G36*100</f>
        <v>0.5034919603703103</v>
      </c>
      <c r="H22" s="11">
        <f>10.7/H36*100</f>
        <v>0.44695071010860488</v>
      </c>
      <c r="I22" s="11">
        <f>9.8/I36*100</f>
        <v>0.45901639344262296</v>
      </c>
      <c r="J22" s="11">
        <f>9.6/J36*100</f>
        <v>0.45977011494252873</v>
      </c>
      <c r="K22" s="20">
        <f>9.4/K36*100</f>
        <v>0.44761904761904764</v>
      </c>
    </row>
    <row r="23" spans="1:11">
      <c r="A23" s="4" t="s">
        <v>22</v>
      </c>
      <c r="B23" s="12"/>
      <c r="C23" s="12"/>
      <c r="D23" s="12"/>
      <c r="E23" s="12"/>
      <c r="F23" s="12"/>
      <c r="G23" s="12">
        <f>5.6/G36*100</f>
        <v>0.30317795463158465</v>
      </c>
      <c r="H23" s="11">
        <f>6.3/H36*100</f>
        <v>0.26315789473684209</v>
      </c>
      <c r="I23" s="11">
        <f>8.3/I36*100</f>
        <v>0.3887587822014052</v>
      </c>
      <c r="J23" s="11">
        <f>9.1/J36*100</f>
        <v>0.43582375478927199</v>
      </c>
      <c r="K23" s="20">
        <f>9.1/K36*100</f>
        <v>0.43333333333333329</v>
      </c>
    </row>
    <row r="24" spans="1:11">
      <c r="A24" s="4" t="s">
        <v>23</v>
      </c>
      <c r="B24" s="12"/>
      <c r="C24" s="12"/>
      <c r="D24" s="12"/>
      <c r="E24" s="12"/>
      <c r="F24" s="12"/>
      <c r="G24" s="12">
        <f>7.5/G36*100</f>
        <v>0.40604190352444375</v>
      </c>
      <c r="H24" s="11">
        <f>7.7/H36*100</f>
        <v>0.32163742690058483</v>
      </c>
      <c r="I24" s="11">
        <f>7.3/I36*100</f>
        <v>0.34192037470725994</v>
      </c>
      <c r="J24" s="11">
        <f>6.7/J36*100</f>
        <v>0.32088122605363983</v>
      </c>
      <c r="K24" s="20">
        <f>6.7/K36*100</f>
        <v>0.31904761904761908</v>
      </c>
    </row>
    <row r="25" spans="1:11">
      <c r="A25" s="4" t="s">
        <v>24</v>
      </c>
      <c r="B25" s="12"/>
      <c r="C25" s="12"/>
      <c r="D25" s="12"/>
      <c r="E25" s="12"/>
      <c r="F25" s="12"/>
      <c r="G25" s="12">
        <f>3.6/G36*100</f>
        <v>0.19490011369173299</v>
      </c>
      <c r="H25" s="11">
        <f>8/H36*100</f>
        <v>0.33416875522138678</v>
      </c>
      <c r="I25" s="11">
        <f>6.5/I36*100</f>
        <v>0.3044496487119438</v>
      </c>
      <c r="J25" s="11">
        <f>5.6/J36*100</f>
        <v>0.26819923371647508</v>
      </c>
      <c r="K25" s="20">
        <f>5.7/K36*100</f>
        <v>0.27142857142857141</v>
      </c>
    </row>
    <row r="26" spans="1:11">
      <c r="A26" s="4" t="s">
        <v>25</v>
      </c>
      <c r="B26" s="12"/>
      <c r="C26" s="12"/>
      <c r="D26" s="12"/>
      <c r="E26" s="12"/>
      <c r="F26" s="12"/>
      <c r="G26" s="12">
        <f>8.5/G36*100</f>
        <v>0.46018082399436955</v>
      </c>
      <c r="H26" s="11">
        <f>9.2/H36*100</f>
        <v>0.3842940685045948</v>
      </c>
      <c r="I26" s="11">
        <f>7.5/I36*100</f>
        <v>0.35128805620608899</v>
      </c>
      <c r="J26" s="11">
        <f>5.4/J36*100</f>
        <v>0.25862068965517243</v>
      </c>
      <c r="K26" s="20">
        <f>5.4/K36*100</f>
        <v>0.25714285714285717</v>
      </c>
    </row>
    <row r="27" spans="1:11">
      <c r="A27" s="4" t="s">
        <v>26</v>
      </c>
      <c r="B27" s="12"/>
      <c r="C27" s="12"/>
      <c r="D27" s="12"/>
      <c r="E27" s="12"/>
      <c r="F27" s="12"/>
      <c r="G27" s="12"/>
      <c r="H27" s="11">
        <f>7.1/H36*100</f>
        <v>0.29657477025898077</v>
      </c>
      <c r="I27" s="11">
        <f>6.8/I36*100</f>
        <v>0.31850117096018737</v>
      </c>
      <c r="J27" s="11">
        <f>5/J36*100</f>
        <v>0.23946360153256704</v>
      </c>
      <c r="K27" s="20">
        <f>5/K36*100</f>
        <v>0.23809523809523811</v>
      </c>
    </row>
    <row r="28" spans="1:11">
      <c r="A28" s="4" t="s">
        <v>27</v>
      </c>
      <c r="B28" s="9"/>
      <c r="C28" s="9"/>
      <c r="D28" s="12"/>
      <c r="E28" s="12"/>
      <c r="F28" s="12"/>
      <c r="G28" s="12">
        <f>9.9/G36*100</f>
        <v>0.53597531265226583</v>
      </c>
      <c r="H28" s="11">
        <f>3.3/H36*100</f>
        <v>0.13784461152882205</v>
      </c>
      <c r="I28" s="11">
        <f>4.9/I36*100</f>
        <v>0.22950819672131148</v>
      </c>
      <c r="J28" s="11">
        <f>4.4/J36*100</f>
        <v>0.21072796934865903</v>
      </c>
      <c r="K28" s="20">
        <f>4.4/K36*100</f>
        <v>0.20952380952380953</v>
      </c>
    </row>
    <row r="29" spans="1:11">
      <c r="A29" s="4" t="s">
        <v>28</v>
      </c>
      <c r="B29" s="12"/>
      <c r="C29" s="12"/>
      <c r="D29" s="12"/>
      <c r="E29" s="12"/>
      <c r="F29" s="12"/>
      <c r="G29" s="12">
        <f>3.6/G36*100</f>
        <v>0.19490011369173299</v>
      </c>
      <c r="H29" s="11">
        <f>5.4/H36*100</f>
        <v>0.22556390977443611</v>
      </c>
      <c r="I29" s="11">
        <f>5.4/I36*100</f>
        <v>0.25292740046838408</v>
      </c>
      <c r="J29" s="11">
        <f>4.3/J36*100</f>
        <v>0.20593869731800768</v>
      </c>
      <c r="K29" s="20">
        <f>4.3/K36*100</f>
        <v>0.20476190476190476</v>
      </c>
    </row>
    <row r="30" spans="1:11">
      <c r="A30" s="4" t="s">
        <v>29</v>
      </c>
      <c r="B30" s="12"/>
      <c r="C30" s="12"/>
      <c r="D30" s="12"/>
      <c r="E30" s="12"/>
      <c r="F30" s="12"/>
      <c r="G30" s="12">
        <f>3.6/G36*100</f>
        <v>0.19490011369173299</v>
      </c>
      <c r="H30" s="11">
        <f>3.5/H36*100</f>
        <v>0.14619883040935672</v>
      </c>
      <c r="I30" s="11">
        <f>4.3/I36*100</f>
        <v>0.20140515222482436</v>
      </c>
      <c r="J30" s="11">
        <f>4.1/J36*100</f>
        <v>0.19636015325670497</v>
      </c>
      <c r="K30" s="20">
        <f>4.1/K36*100</f>
        <v>0.19523809523809521</v>
      </c>
    </row>
    <row r="31" spans="1:11">
      <c r="A31" s="4" t="s">
        <v>30</v>
      </c>
      <c r="B31" s="12"/>
      <c r="C31" s="12"/>
      <c r="D31" s="12"/>
      <c r="E31" s="12"/>
      <c r="F31" s="12"/>
      <c r="G31" s="12">
        <f>4.9/G36*100</f>
        <v>0.26528071030263661</v>
      </c>
      <c r="H31" s="11">
        <f>5.5/H36*100</f>
        <v>0.22974101921470341</v>
      </c>
      <c r="I31" s="11">
        <f>4.6/I36*100</f>
        <v>0.21545667447306791</v>
      </c>
      <c r="J31" s="11">
        <f>3.7/J36*100</f>
        <v>0.17720306513409964</v>
      </c>
      <c r="K31" s="20">
        <f>3.7/K36*100</f>
        <v>0.1761904761904762</v>
      </c>
    </row>
    <row r="32" spans="1:11">
      <c r="A32" s="4" t="s">
        <v>31</v>
      </c>
      <c r="B32" s="12"/>
      <c r="C32" s="12"/>
      <c r="D32" s="12"/>
      <c r="E32" s="12"/>
      <c r="F32" s="12"/>
      <c r="G32" s="12">
        <f>6.2/G36*100</f>
        <v>0.33566130691354018</v>
      </c>
      <c r="H32" s="11">
        <f>6.4/H36*100</f>
        <v>0.26733500417710943</v>
      </c>
      <c r="I32" s="11">
        <f>3.6/I36*100</f>
        <v>0.16861826697892271</v>
      </c>
      <c r="J32" s="11">
        <f>3.4/J36*100</f>
        <v>0.16283524904214558</v>
      </c>
      <c r="K32" s="20">
        <f>3.4/K36*100</f>
        <v>0.16190476190476188</v>
      </c>
    </row>
    <row r="33" spans="1:11">
      <c r="A33" s="4" t="s">
        <v>32</v>
      </c>
      <c r="B33" s="12"/>
      <c r="C33" s="12"/>
      <c r="D33" s="12"/>
      <c r="E33" s="12"/>
      <c r="F33" s="12"/>
      <c r="G33" s="12">
        <f>6.7/G36*100</f>
        <v>0.36273076714850311</v>
      </c>
      <c r="H33" s="11">
        <f>5.5/H36*100</f>
        <v>0.22974101921470341</v>
      </c>
      <c r="I33" s="11"/>
      <c r="J33" s="11"/>
      <c r="K33" s="20"/>
    </row>
    <row r="34" spans="1:11">
      <c r="A34" s="4" t="s">
        <v>33</v>
      </c>
      <c r="B34" s="12"/>
      <c r="C34" s="12"/>
      <c r="D34" s="12"/>
      <c r="E34" s="12"/>
      <c r="F34" s="12"/>
      <c r="G34" s="12"/>
      <c r="H34" s="11">
        <f>5.4/H36*100</f>
        <v>0.22556390977443611</v>
      </c>
      <c r="I34" s="11">
        <f>3.8/I36*100</f>
        <v>0.17798594847775176</v>
      </c>
      <c r="J34" s="11">
        <f>2.6/J36*100</f>
        <v>0.12452107279693488</v>
      </c>
      <c r="K34" s="20">
        <f>2.6/K36*100</f>
        <v>0.12380952380952383</v>
      </c>
    </row>
    <row r="35" spans="1:11">
      <c r="A35" s="4" t="s">
        <v>34</v>
      </c>
      <c r="B35" s="12"/>
      <c r="C35" s="12"/>
      <c r="D35" s="12"/>
      <c r="E35" s="12"/>
      <c r="F35" s="12"/>
      <c r="G35" s="12">
        <f>2.8/G36*100</f>
        <v>0.15158897731579232</v>
      </c>
      <c r="H35" s="11">
        <f>3.7/H36*100</f>
        <v>0.15455304928989139</v>
      </c>
      <c r="I35" s="11"/>
      <c r="J35" s="11"/>
      <c r="K35" s="20"/>
    </row>
    <row r="36" spans="1:11">
      <c r="A36" s="5" t="s">
        <v>35</v>
      </c>
      <c r="B36" s="4">
        <v>771</v>
      </c>
      <c r="C36" s="4">
        <v>775</v>
      </c>
      <c r="D36" s="21">
        <v>993.9</v>
      </c>
      <c r="E36" s="5">
        <v>1011.2</v>
      </c>
      <c r="F36" s="5">
        <v>1300</v>
      </c>
      <c r="G36" s="19">
        <v>1847.1</v>
      </c>
      <c r="H36" s="1">
        <v>2394</v>
      </c>
      <c r="I36" s="5">
        <v>2135</v>
      </c>
      <c r="J36" s="19">
        <v>2088</v>
      </c>
      <c r="K36" s="22">
        <v>2100</v>
      </c>
    </row>
    <row r="37" spans="1:11">
      <c r="A37" s="5" t="s">
        <v>36</v>
      </c>
      <c r="B37" s="12">
        <f>SUM(B4+B6+B9+B8)</f>
        <v>36.939040207522694</v>
      </c>
      <c r="C37" s="12">
        <f>SUM(C4+C6+C9+C8)</f>
        <v>48.425806451612907</v>
      </c>
      <c r="D37" s="9">
        <f>SUM(D4+D6+D9+D8)</f>
        <v>41.46292383539592</v>
      </c>
      <c r="E37" s="9">
        <f>SUM(E3+E6+E9+E7)</f>
        <v>39.685522151898731</v>
      </c>
      <c r="F37" s="9">
        <f>SUM(F3+F5+F7+F9)</f>
        <v>32.061538461538461</v>
      </c>
      <c r="G37" s="9">
        <f>SUM(G3+G5+G7+G9)</f>
        <v>29.337881002652807</v>
      </c>
      <c r="H37" s="24">
        <f>SUM(H3+H5+H7+H8)</f>
        <v>21.232247284878866</v>
      </c>
      <c r="I37" s="9">
        <f>SUM(I3+I5+I7+I8)</f>
        <v>22.599531615925056</v>
      </c>
      <c r="J37" s="9">
        <f>SUM(J3+J5+J7+J8)</f>
        <v>23.75</v>
      </c>
      <c r="K37" s="24">
        <f>SUM(K3+K5+K7+K8)</f>
        <v>22.914285714285715</v>
      </c>
    </row>
    <row r="38" spans="1:11">
      <c r="A38" s="5" t="s">
        <v>37</v>
      </c>
      <c r="B38" s="12">
        <f>SUMSQ(B4,B5,B6,B7,B8,B9,B10,B11,B12,B13,B15,B16,B17,B18,B20)</f>
        <v>425.12831382761271</v>
      </c>
      <c r="C38" s="12">
        <f>SUMSQ(C4,C5,C6,C7,C8,C9,C10,C11,C12,C13,C15,C16,C17,C18,C20)</f>
        <v>720.49232049947989</v>
      </c>
      <c r="D38" s="9">
        <f>SUMSQ(D4,D5,D6,D7,D8,D9,D10,D11,D12,D13,D15,D16,D17,D18,D20)</f>
        <v>571.16668038856324</v>
      </c>
      <c r="E38" s="9">
        <f>SUMSQ(E3,E5,E6,E7,E9,E8,E10,E11,E12,E13,E14,E15,E16,E17,E18,E20)</f>
        <v>528.30773579579602</v>
      </c>
      <c r="F38" s="9">
        <f>SUMSQ(F3,F5,F7,F8,F9,F10,F11,F12,F13,F14,F15,F16,F17,F18,F20)</f>
        <v>354.60804733727809</v>
      </c>
      <c r="G38" s="9">
        <f>SUMSQ(G3,G5,G7,G8,G9,G10,G11,G12,G14,G13,G15,G16,G17,G18,G19,G20,G21,G22,G23,G24,G25,G26,G28,G29,G30,G31,G32,G33,G35)</f>
        <v>298.57695242288617</v>
      </c>
      <c r="H38" s="24">
        <f>SUMSQ(H3,H5,H7,H8,H9,H10,H11,H12,H13,H14,H15,H16,H17,H18,H19,H20,H21,H22,H23,H24,H25,H26,H27,H28,H29,H30,H31,H32,H33,H34,H35)</f>
        <v>157.99375562269648</v>
      </c>
      <c r="I38" s="9">
        <f>SUMSQ(I3,I5,I7,I8,I9,I10,I11,I12,I13,I14,I15+I15,I16,I17,I18,I19,I20,I21,I22,I23,I24,I25,I26,I27,I28,I29,I30,I31,I32,I34)</f>
        <v>178.91975494847222</v>
      </c>
      <c r="J38" s="9">
        <f>SUMSQ(J3,J5,J7,J8,J9,J10,J11,J12,J13,J14,J15,J16,J17,J18,J19,J20,J21,J22,J23,J24,J25,J26,J27,J28,J29,J30,J31,J32,J34)</f>
        <v>186.88000946844582</v>
      </c>
      <c r="K38" s="24">
        <f>SUMSQ(K3,K5,K7,K8,K9,K10,K11,K12,K13,K14,K15,K16,K17,K18,K19,K20,K21,K23,K24,K25,K26,K27,K28,K29,K30,K31,K32,K34,K22)</f>
        <v>178.27453514739224</v>
      </c>
    </row>
    <row r="39" spans="1:11">
      <c r="B39" s="28"/>
    </row>
    <row r="41" spans="1:11">
      <c r="A41" s="2" t="s">
        <v>38</v>
      </c>
    </row>
  </sheetData>
  <mergeCells count="1">
    <mergeCell ref="A1:M1"/>
  </mergeCells>
  <phoneticPr fontId="2" type="noConversion"/>
  <pageMargins left="0.75" right="0.75" top="1" bottom="1" header="0.5" footer="0.5"/>
  <rowBreaks count="1" manualBreakCount="1">
    <brk id="28" max="16383" man="1"/>
  </rowBreaks>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Magazines ($)</vt:lpstr>
      <vt:lpstr>Magazines (mrkt share)</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2013-10-14T15:03:25Z</dcterms:created>
  <dcterms:modified xsi:type="dcterms:W3CDTF">2013-10-14T15:05:00Z</dcterms:modified>
</cp:coreProperties>
</file>