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Default Extension="jpeg" ContentType="image/jpe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1120" windowHeight="13620" tabRatio="500" activeTab="1"/>
  </bookViews>
  <sheets>
    <sheet name="Broadcast TV ($)" sheetId="1" r:id="rId1"/>
    <sheet name="Broadcast TV (mrkt share)" sheetId="2" r:id="rId2"/>
  </sheets>
  <definedNames>
    <definedName name="_xlnm.Print_Area" localSheetId="0">'Broadcast TV ($)'!$A$2:$I$38</definedName>
    <definedName name="Z_53A03D0E_38D0_7449_9494_A87029C5A3DD_.wvu.Cols" localSheetId="0" hidden="1">'Broadcast TV ($)'!$B:$B</definedName>
    <definedName name="Z_76AAADB2_7415_974E_BA98_ED7CDFF7D929_.wvu.Rows" localSheetId="1" hidden="1">'Broadcast TV (mrkt share)'!$36:$36</definedName>
    <definedName name="Z_C1CFBDE7_2FAB_EE4D_8BC2_4415671EDD7A_.wvu.Cols" localSheetId="0" hidden="1">'Broadcast TV ($)'!$B:$B</definedName>
    <definedName name="Z_C2D491F7_5539_274B_90BD_E9E995F70CAC_.wvu.Rows" localSheetId="1" hidden="1">'Broadcast TV (mrkt share)'!$36:$36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3" i="2"/>
  <c r="P4"/>
  <c r="P18"/>
  <c r="P19"/>
  <c r="P26"/>
  <c r="P29"/>
  <c r="P33"/>
  <c r="P40"/>
  <c r="O3"/>
  <c r="O4"/>
  <c r="O18"/>
  <c r="O19"/>
  <c r="O22"/>
  <c r="O26"/>
  <c r="O29"/>
  <c r="O33"/>
  <c r="O40"/>
  <c r="N3"/>
  <c r="N4"/>
  <c r="N18"/>
  <c r="N19"/>
  <c r="N22"/>
  <c r="N26"/>
  <c r="N29"/>
  <c r="N33"/>
  <c r="N40"/>
  <c r="M3"/>
  <c r="M5"/>
  <c r="M18"/>
  <c r="M19"/>
  <c r="M22"/>
  <c r="M26"/>
  <c r="M29"/>
  <c r="M33"/>
  <c r="M40"/>
  <c r="L3"/>
  <c r="L5"/>
  <c r="L20"/>
  <c r="L22"/>
  <c r="L26"/>
  <c r="L29"/>
  <c r="L33"/>
  <c r="L40"/>
  <c r="K3"/>
  <c r="K15"/>
  <c r="K20"/>
  <c r="K22"/>
  <c r="K26"/>
  <c r="K30"/>
  <c r="K33"/>
  <c r="K6"/>
  <c r="K17"/>
  <c r="K38"/>
  <c r="K40"/>
  <c r="J3"/>
  <c r="J6"/>
  <c r="J15"/>
  <c r="J20"/>
  <c r="J17"/>
  <c r="J22"/>
  <c r="J26"/>
  <c r="J30"/>
  <c r="J33"/>
  <c r="J38"/>
  <c r="J40"/>
  <c r="I33"/>
  <c r="I30"/>
  <c r="I26"/>
  <c r="I22"/>
  <c r="I20"/>
  <c r="I16"/>
  <c r="I17"/>
  <c r="I15"/>
  <c r="I6"/>
  <c r="I3"/>
  <c r="I38"/>
  <c r="I40"/>
  <c r="H3"/>
  <c r="H6"/>
  <c r="H15"/>
  <c r="H16"/>
  <c r="H20"/>
  <c r="H22"/>
  <c r="H26"/>
  <c r="H30"/>
  <c r="H31"/>
  <c r="H33"/>
  <c r="H7"/>
  <c r="H17"/>
  <c r="H38"/>
  <c r="H40"/>
  <c r="P39"/>
  <c r="O39"/>
  <c r="N39"/>
  <c r="M39"/>
  <c r="L39"/>
  <c r="K37"/>
  <c r="K39"/>
  <c r="J37"/>
  <c r="J39"/>
  <c r="I37"/>
  <c r="I39"/>
  <c r="H39"/>
  <c r="P17"/>
  <c r="P38"/>
  <c r="N17"/>
  <c r="N38"/>
  <c r="M17"/>
  <c r="M38"/>
  <c r="L17"/>
  <c r="L38"/>
  <c r="G3"/>
  <c r="G15"/>
  <c r="G20"/>
  <c r="G22"/>
  <c r="G26"/>
  <c r="G30"/>
  <c r="G38"/>
  <c r="F38"/>
  <c r="E38"/>
  <c r="D3"/>
  <c r="D7"/>
  <c r="D15"/>
  <c r="D20"/>
  <c r="D21"/>
  <c r="D23"/>
  <c r="D26"/>
  <c r="D38"/>
  <c r="C3"/>
  <c r="C7"/>
  <c r="C15"/>
  <c r="C20"/>
  <c r="C21"/>
  <c r="C23"/>
  <c r="C25"/>
  <c r="C26"/>
  <c r="C27"/>
  <c r="C28"/>
  <c r="C30"/>
  <c r="C32"/>
  <c r="C33"/>
  <c r="C38"/>
  <c r="B3"/>
  <c r="B7"/>
  <c r="B15"/>
  <c r="B20"/>
  <c r="B21"/>
  <c r="B24"/>
  <c r="B25"/>
  <c r="B26"/>
  <c r="B27"/>
  <c r="B30"/>
  <c r="B32"/>
  <c r="B33"/>
  <c r="B23"/>
  <c r="B28"/>
  <c r="B38"/>
  <c r="P37"/>
  <c r="N37"/>
  <c r="M37"/>
  <c r="L37"/>
  <c r="H37"/>
  <c r="G37"/>
  <c r="F37"/>
  <c r="E37"/>
  <c r="D37"/>
  <c r="C37"/>
  <c r="B37"/>
  <c r="P34"/>
  <c r="O34"/>
  <c r="N34"/>
  <c r="M34"/>
  <c r="L34"/>
  <c r="K34"/>
  <c r="J34"/>
  <c r="I34"/>
  <c r="H34"/>
  <c r="G34"/>
  <c r="F34"/>
  <c r="E34"/>
  <c r="D34"/>
  <c r="C34"/>
  <c r="B34"/>
  <c r="O17"/>
</calcChain>
</file>

<file path=xl/comments1.xml><?xml version="1.0" encoding="utf-8"?>
<comments xmlns="http://schemas.openxmlformats.org/spreadsheetml/2006/main">
  <authors>
    <author>Lianrui Jia</author>
    <author>LR</author>
  </authors>
  <commentList>
    <comment ref="F3" authorId="0">
      <text>
        <r>
          <rPr>
            <b/>
            <sz val="9"/>
            <color indexed="81"/>
            <rFont val="Calibri"/>
            <family val="2"/>
          </rPr>
          <t>Lianrui Jia:</t>
        </r>
        <r>
          <rPr>
            <sz val="9"/>
            <color indexed="81"/>
            <rFont val="Calibri"/>
            <family val="2"/>
          </rPr>
          <t xml:space="preserve">
CRTC
</t>
        </r>
      </text>
    </comment>
    <comment ref="G3" authorId="0">
      <text>
        <r>
          <rPr>
            <b/>
            <sz val="9"/>
            <color indexed="81"/>
            <rFont val="Calibri"/>
            <family val="2"/>
          </rPr>
          <t>Lianrui Jia:</t>
        </r>
        <r>
          <rPr>
            <sz val="9"/>
            <color indexed="81"/>
            <rFont val="Calibri"/>
            <family val="2"/>
          </rPr>
          <t xml:space="preserve">
CRTC</t>
        </r>
      </text>
    </comment>
    <comment ref="L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TV Aggregate Annual Return, 2008</t>
        </r>
      </text>
    </comment>
    <comment ref="M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TV Aggregate Annual Return, 2010</t>
        </r>
      </text>
    </comment>
    <comment ref="N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TV Aggregate Annual Return, 2011</t>
        </r>
      </text>
    </comment>
    <comment ref="O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CBC TV Aggregate Annual Return, 2012</t>
        </r>
      </text>
    </comment>
    <comment ref="N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BCE TV Aggregate Annual Returns, 2011</t>
        </r>
      </text>
    </comment>
    <comment ref="O4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BCE TV Aggregate Annual Returns, 2012</t>
        </r>
      </text>
    </comment>
    <comment ref="L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CTVGlobeMedia Aggregate Annual Returns, 2008</t>
        </r>
      </text>
    </comment>
    <comment ref="M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CTRC CTVGlobeMedia Aggregate Annual Return, 2010</t>
        </r>
      </text>
    </comment>
    <comment ref="M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Shaw TV Aggregate Annual Returns, 2010</t>
        </r>
      </text>
    </comment>
    <comment ref="N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Shaw TV Aggregate Annual Returns, 2011</t>
        </r>
      </text>
    </comment>
    <comment ref="O18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Shaw TV Aggregate Annual Returns, 2012</t>
        </r>
      </text>
    </comment>
    <comment ref="L20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Canwest Aggregate Annual Returns, 2008</t>
        </r>
      </text>
    </comment>
    <comment ref="L2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TV Aggregate Annual Returns, 2008
</t>
        </r>
      </text>
    </comment>
    <comment ref="M2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TV Aggregate Annual Returns, 2010
</t>
        </r>
      </text>
    </comment>
    <comment ref="N2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Rgoers TV Aggregate Annual Returns, 2011</t>
        </r>
      </text>
    </comment>
    <comment ref="O22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Rogers TV Aggregate Annual Returns, 2012</t>
        </r>
      </text>
    </comment>
    <comment ref="L2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Quebecor TV Aggregate Annual Returns, 2008</t>
        </r>
      </text>
    </comment>
    <comment ref="M2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Quebecor TV Aggregate Annual Returns, 2010
</t>
        </r>
      </text>
    </comment>
    <comment ref="N2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Quebecor TV Aggregate Annual Returns, 2011
</t>
        </r>
      </text>
    </comment>
    <comment ref="O2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Quebecor TV Aggregate Annual Returns, 2012</t>
        </r>
      </text>
    </comment>
    <comment ref="L2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Remstar TV Aggregate Annual Returns, 2008
</t>
        </r>
      </text>
    </comment>
    <comment ref="M2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Remstar TV Aggregate Annual Returns, 2010</t>
        </r>
      </text>
    </comment>
    <comment ref="N2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Remstar Aggregate Annual Returns, 2011
</t>
        </r>
      </text>
    </comment>
    <comment ref="O2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CTRC V Interactions TV Aggregate Annual Returns, 2012</t>
        </r>
      </text>
    </comment>
    <comment ref="L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conventional TV financial summary 2008-2012 plus CBC Aggregrate annual returns for TV, English and French, 2008 </t>
        </r>
      </text>
    </comment>
    <comment ref="M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conventional TV financial summary 2008-2012 plus CBC Aggregrate annual returns for TV, English and French, 2010 </t>
        </r>
      </text>
    </comment>
    <comment ref="N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conventional TV financial summary 2008-2012 plus CBC Aggregrate annual returns for TV, English and French, 2011 </t>
        </r>
      </text>
    </comment>
    <comment ref="O3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conventional TV financial summary 2008-2012 plus CBC Aggregrate annual returns for TV, English and French, 2012 </t>
        </r>
      </text>
    </comment>
  </commentList>
</comments>
</file>

<file path=xl/sharedStrings.xml><?xml version="1.0" encoding="utf-8"?>
<sst xmlns="http://schemas.openxmlformats.org/spreadsheetml/2006/main" count="125" uniqueCount="108">
  <si>
    <t>CR4 (Shaw/Corus separate)</t>
    <phoneticPr fontId="4" type="noConversion"/>
  </si>
  <si>
    <t>HHI (Shaw/Corus separate)</t>
    <phoneticPr fontId="4" type="noConversion"/>
  </si>
  <si>
    <t>See Notes and Sources Appendix.</t>
    <phoneticPr fontId="4" type="noConversion"/>
  </si>
  <si>
    <t xml:space="preserve">      Baton (4)</t>
    <phoneticPr fontId="4" type="noConversion"/>
  </si>
  <si>
    <t>16.3 Baton (15)</t>
  </si>
  <si>
    <t xml:space="preserve">        Electrohome (5)</t>
    <phoneticPr fontId="4" type="noConversion"/>
  </si>
  <si>
    <t>2.3 Baton (1997)</t>
  </si>
  <si>
    <t xml:space="preserve">        Moffatt (6)</t>
    <phoneticPr fontId="4" type="noConversion"/>
  </si>
  <si>
    <t xml:space="preserve"> Baton (1997)</t>
  </si>
  <si>
    <t xml:space="preserve">       Blackburn (7) (CFPL London)</t>
    <phoneticPr fontId="4" type="noConversion"/>
  </si>
  <si>
    <t>Baton (1993)</t>
  </si>
  <si>
    <t xml:space="preserve">       MidCanada Comm (8)</t>
    <phoneticPr fontId="4" type="noConversion"/>
  </si>
  <si>
    <t xml:space="preserve">       Huron Broadcasting</t>
    <phoneticPr fontId="4" type="noConversion"/>
  </si>
  <si>
    <t xml:space="preserve">       Yorkton TV</t>
    <phoneticPr fontId="4" type="noConversion"/>
  </si>
  <si>
    <t xml:space="preserve">       Sunwapta</t>
    <phoneticPr fontId="4" type="noConversion"/>
  </si>
  <si>
    <t>0.5 Electrohome</t>
  </si>
  <si>
    <t>CHUM</t>
    <phoneticPr fontId="4" type="noConversion"/>
  </si>
  <si>
    <t>Bellgm (2007) (10)</t>
  </si>
  <si>
    <t xml:space="preserve">   Craig (9)</t>
    <phoneticPr fontId="4" type="noConversion"/>
  </si>
  <si>
    <t>1.8 CHUM &amp; QBC (12)</t>
  </si>
  <si>
    <t>Shaw (10)</t>
    <phoneticPr fontId="4" type="noConversion"/>
  </si>
  <si>
    <t xml:space="preserve">   Shaw</t>
    <phoneticPr fontId="1" type="noConversion"/>
  </si>
  <si>
    <t xml:space="preserve">   Corus</t>
    <phoneticPr fontId="1" type="noConversion"/>
  </si>
  <si>
    <t>Canwest (11)</t>
    <phoneticPr fontId="4" type="noConversion"/>
  </si>
  <si>
    <t>WIC (12)</t>
    <phoneticPr fontId="4" type="noConversion"/>
  </si>
  <si>
    <t>12.4 Canwest</t>
  </si>
  <si>
    <t>Quebecor TVA</t>
    <phoneticPr fontId="4" type="noConversion"/>
  </si>
  <si>
    <t xml:space="preserve">  Videotron (13)</t>
    <phoneticPr fontId="4" type="noConversion"/>
  </si>
  <si>
    <t xml:space="preserve">  TeleMetropole (TVA) (14)</t>
    <phoneticPr fontId="4" type="noConversion"/>
  </si>
  <si>
    <t>Videotron</t>
  </si>
  <si>
    <t xml:space="preserve">  Pathonic (15)</t>
    <phoneticPr fontId="4" type="noConversion"/>
  </si>
  <si>
    <t>Rogers (16)</t>
    <phoneticPr fontId="4" type="noConversion"/>
  </si>
  <si>
    <t xml:space="preserve">  Maclean Hunter (17)</t>
    <phoneticPr fontId="4" type="noConversion"/>
  </si>
  <si>
    <t>5.2 (21)</t>
  </si>
  <si>
    <t xml:space="preserve">  Selkirk (18)</t>
    <phoneticPr fontId="4" type="noConversion"/>
  </si>
  <si>
    <t>V Interactions (Remstar)</t>
    <phoneticPr fontId="4" type="noConversion"/>
  </si>
  <si>
    <t>Cogeco TQS (2001-08) (19)</t>
    <phoneticPr fontId="4" type="noConversion"/>
  </si>
  <si>
    <t xml:space="preserve">  TQS (Quebecor 1997-2001)</t>
    <phoneticPr fontId="4" type="noConversion"/>
  </si>
  <si>
    <t xml:space="preserve">  TQS (CFCF/Pouliot (20)</t>
    <phoneticPr fontId="4" type="noConversion"/>
  </si>
  <si>
    <t>Quebecor &amp; Cons. (20) (1997)</t>
  </si>
  <si>
    <t>Radio Nord (21)</t>
    <phoneticPr fontId="4" type="noConversion"/>
  </si>
  <si>
    <t>Total $</t>
    <phoneticPr fontId="4" type="noConversion"/>
  </si>
  <si>
    <t>HHI</t>
    <phoneticPr fontId="4" type="noConversion"/>
  </si>
  <si>
    <t>Conventional TV Ownership Groups, Revenue ($Millions) and Concentration Levels, 1984-2012 (1)</t>
    <phoneticPr fontId="4" type="noConversion"/>
  </si>
  <si>
    <t>2008 (2)</t>
  </si>
  <si>
    <t>Bell Astral</t>
  </si>
  <si>
    <t>CBC/Radio Canada (2)</t>
  </si>
  <si>
    <t>Bell</t>
  </si>
  <si>
    <t xml:space="preserve">  CTV GlobeMedia</t>
  </si>
  <si>
    <t xml:space="preserve">    Bell Globemedia (3)</t>
  </si>
  <si>
    <t>CTVgm</t>
  </si>
  <si>
    <t xml:space="preserve">      Baton (4)</t>
  </si>
  <si>
    <t>Bell (2000)</t>
  </si>
  <si>
    <t xml:space="preserve">        Electrohome (5)</t>
  </si>
  <si>
    <t>64.2 (Baton 1997)</t>
  </si>
  <si>
    <t xml:space="preserve">        Moffatt </t>
  </si>
  <si>
    <t>(Baton 1997)</t>
  </si>
  <si>
    <t xml:space="preserve">       Blackburn (6) (CFPL London)</t>
  </si>
  <si>
    <t>20 Baton (1993)</t>
  </si>
  <si>
    <t xml:space="preserve">       MidCanada Comm </t>
  </si>
  <si>
    <t>Baton (1989)</t>
  </si>
  <si>
    <t xml:space="preserve">       Huron Broadcasting</t>
  </si>
  <si>
    <t xml:space="preserve">       Yorkton TV</t>
  </si>
  <si>
    <t xml:space="preserve">       Sunwapta</t>
  </si>
  <si>
    <t>10.6 Electrohome</t>
  </si>
  <si>
    <t>CHUM (7)</t>
  </si>
  <si>
    <t>CTVgm/Rogers</t>
  </si>
  <si>
    <t xml:space="preserve">   Craig (8)</t>
  </si>
  <si>
    <t>56 (CHUM &amp;   QMI)</t>
  </si>
  <si>
    <t>Shaw+Corus (9)</t>
  </si>
  <si>
    <t xml:space="preserve">   Shaw</t>
  </si>
  <si>
    <t xml:space="preserve">   Corus</t>
  </si>
  <si>
    <t xml:space="preserve">   Canwest (10)</t>
  </si>
  <si>
    <t>Shaw</t>
  </si>
  <si>
    <t xml:space="preserve">   WIC (11)</t>
  </si>
  <si>
    <t xml:space="preserve"> Canwest (1998)</t>
  </si>
  <si>
    <t>Rogers (12)</t>
  </si>
  <si>
    <t xml:space="preserve">  Maclean Hunter (13)</t>
  </si>
  <si>
    <t>122.9 (21)</t>
  </si>
  <si>
    <t>Rogers (1994)</t>
  </si>
  <si>
    <t xml:space="preserve">  Selkirk (14)</t>
  </si>
  <si>
    <t>Maclean-Hunter (1988)</t>
  </si>
  <si>
    <t>Quebecor TVA (15)</t>
  </si>
  <si>
    <t xml:space="preserve">  Videotron (16)</t>
  </si>
  <si>
    <t>QMI</t>
  </si>
  <si>
    <t xml:space="preserve">  TeleMetropole (TVA) (17)</t>
  </si>
  <si>
    <t>Videotron (1987)</t>
  </si>
  <si>
    <t xml:space="preserve">  Pathonic (18)</t>
  </si>
  <si>
    <t>Videotron (25)</t>
  </si>
  <si>
    <t>V Interactions (Remstar)</t>
  </si>
  <si>
    <t>Cogeco TQS (2001-08) (19)</t>
  </si>
  <si>
    <t>Remstar</t>
  </si>
  <si>
    <t xml:space="preserve">  TQS (Quebecor 1997-2001)</t>
  </si>
  <si>
    <t>Cogeco (6)</t>
  </si>
  <si>
    <t xml:space="preserve">  TQS (CFCF/Pouliot (10)</t>
  </si>
  <si>
    <t>QMI &amp; Cons. (1997) (20)</t>
  </si>
  <si>
    <t>Radio Nord (21)</t>
  </si>
  <si>
    <t>Other</t>
  </si>
  <si>
    <t>Conventional TV Owners #</t>
  </si>
  <si>
    <t>Total $</t>
  </si>
  <si>
    <t>C4</t>
  </si>
  <si>
    <t>HHI</t>
  </si>
  <si>
    <t>See Notes and Sources Appendix.</t>
  </si>
  <si>
    <t>Television Ownership Groups, Market Shares (Percentage based on $) and Concentration Levels, 1984-2012 (1)</t>
    <phoneticPr fontId="4" type="noConversion"/>
  </si>
  <si>
    <t>CBC/Radio Canada (2)</t>
    <phoneticPr fontId="4" type="noConversion"/>
  </si>
  <si>
    <t xml:space="preserve">  CTV GlobeMedia</t>
    <phoneticPr fontId="4" type="noConversion"/>
  </si>
  <si>
    <t xml:space="preserve">    Bell Globemedia (3)</t>
    <phoneticPr fontId="4" type="noConversion"/>
  </si>
  <si>
    <t xml:space="preserve"> CTVgm</t>
    <phoneticPr fontId="4" type="noConversion"/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</si>
</sst>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#,##0.0"/>
  </numFmts>
  <fonts count="19">
    <font>
      <sz val="12"/>
      <color indexed="8"/>
      <name val="Calibri"/>
      <family val="2"/>
    </font>
    <font>
      <b/>
      <sz val="10"/>
      <name val="Verdana"/>
    </font>
    <font>
      <sz val="10"/>
      <name val="Verdana"/>
    </font>
    <font>
      <b/>
      <sz val="12"/>
      <name val="Calibri"/>
    </font>
    <font>
      <sz val="8"/>
      <name val="Verdana"/>
    </font>
    <font>
      <sz val="12"/>
      <name val="Calibri"/>
    </font>
    <font>
      <u/>
      <sz val="12"/>
      <color indexed="12"/>
      <name val="Calibri"/>
      <family val="2"/>
    </font>
    <font>
      <sz val="10"/>
      <name val="Calibri"/>
    </font>
    <font>
      <i/>
      <sz val="12"/>
      <name val="Calibri"/>
    </font>
    <font>
      <sz val="12"/>
      <color indexed="10"/>
      <name val="Calibri"/>
      <family val="2"/>
    </font>
    <font>
      <sz val="12"/>
      <color indexed="8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name val="Cambria"/>
    </font>
    <font>
      <sz val="12"/>
      <name val="Cambria"/>
    </font>
    <font>
      <b/>
      <sz val="12"/>
      <color indexed="8"/>
      <name val="Calibri"/>
      <family val="2"/>
    </font>
    <font>
      <i/>
      <sz val="12"/>
      <name val="Cambria"/>
    </font>
    <font>
      <sz val="12"/>
      <color indexed="16"/>
      <name val="Calibri"/>
      <family val="2"/>
    </font>
    <font>
      <b/>
      <sz val="12"/>
      <color indexed="8"/>
      <name val="Cambria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 applyNumberFormat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Font="1"/>
    <xf numFmtId="0" fontId="0" fillId="2" borderId="0" xfId="0" applyFont="1" applyFill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164" fontId="5" fillId="0" borderId="0" xfId="0" applyNumberFormat="1" applyFont="1"/>
    <xf numFmtId="0" fontId="0" fillId="0" borderId="0" xfId="0" applyFont="1" applyFill="1"/>
    <xf numFmtId="164" fontId="5" fillId="0" borderId="0" xfId="0" applyNumberFormat="1" applyFont="1" applyFill="1"/>
    <xf numFmtId="0" fontId="3" fillId="0" borderId="0" xfId="1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>
      <alignment vertical="top" wrapText="1"/>
    </xf>
    <xf numFmtId="0" fontId="5" fillId="2" borderId="0" xfId="2" applyFont="1" applyFill="1"/>
    <xf numFmtId="0" fontId="5" fillId="0" borderId="0" xfId="0" applyFont="1" applyFill="1" applyAlignment="1">
      <alignment horizontal="right"/>
    </xf>
    <xf numFmtId="0" fontId="7" fillId="0" borderId="0" xfId="2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vertical="top" wrapText="1"/>
    </xf>
    <xf numFmtId="164" fontId="7" fillId="2" borderId="0" xfId="2" applyNumberFormat="1" applyFont="1" applyFill="1" applyBorder="1" applyAlignment="1">
      <alignment vertical="top" wrapText="1"/>
    </xf>
    <xf numFmtId="1" fontId="5" fillId="0" borderId="0" xfId="0" applyNumberFormat="1" applyFont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164" fontId="5" fillId="0" borderId="0" xfId="0" applyNumberFormat="1" applyFont="1" applyAlignment="1">
      <alignment horizontal="right"/>
    </xf>
    <xf numFmtId="0" fontId="3" fillId="2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8" fillId="3" borderId="0" xfId="0" applyFont="1" applyFill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3" borderId="0" xfId="0" applyFont="1" applyFill="1"/>
    <xf numFmtId="164" fontId="7" fillId="0" borderId="0" xfId="2" applyNumberFormat="1" applyFont="1" applyFill="1" applyBorder="1" applyAlignment="1">
      <alignment horizontal="right" vertical="top" wrapText="1"/>
    </xf>
    <xf numFmtId="164" fontId="0" fillId="0" borderId="0" xfId="0" applyNumberFormat="1" applyFont="1"/>
    <xf numFmtId="164" fontId="9" fillId="2" borderId="0" xfId="0" applyNumberFormat="1" applyFont="1" applyFill="1"/>
    <xf numFmtId="0" fontId="10" fillId="0" borderId="0" xfId="0" applyFont="1"/>
    <xf numFmtId="0" fontId="10" fillId="0" borderId="0" xfId="0" applyFont="1" applyFill="1"/>
    <xf numFmtId="0" fontId="0" fillId="2" borderId="0" xfId="0" applyFill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4" fillId="2" borderId="0" xfId="0" applyFont="1" applyFill="1"/>
    <xf numFmtId="0" fontId="14" fillId="0" borderId="0" xfId="0" applyFont="1" applyAlignment="1">
      <alignment horizontal="right"/>
    </xf>
    <xf numFmtId="1" fontId="14" fillId="0" borderId="0" xfId="0" applyNumberFormat="1" applyFont="1"/>
    <xf numFmtId="164" fontId="14" fillId="0" borderId="0" xfId="0" applyNumberFormat="1" applyFont="1" applyAlignment="1">
      <alignment horizontal="right"/>
    </xf>
    <xf numFmtId="164" fontId="14" fillId="0" borderId="0" xfId="0" applyNumberFormat="1" applyFont="1"/>
    <xf numFmtId="164" fontId="14" fillId="2" borderId="0" xfId="0" applyNumberFormat="1" applyFont="1" applyFill="1"/>
    <xf numFmtId="0" fontId="0" fillId="0" borderId="0" xfId="0" applyAlignment="1">
      <alignment horizontal="right"/>
    </xf>
    <xf numFmtId="164" fontId="10" fillId="0" borderId="0" xfId="0" applyNumberFormat="1" applyFont="1" applyFill="1"/>
    <xf numFmtId="0" fontId="1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0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2" fillId="0" borderId="0" xfId="3" applyFill="1" applyBorder="1" applyAlignment="1">
      <alignment horizontal="right" wrapText="1"/>
    </xf>
    <xf numFmtId="0" fontId="1" fillId="0" borderId="0" xfId="3" applyFont="1" applyFill="1" applyBorder="1" applyAlignment="1">
      <alignment horizontal="right" wrapText="1"/>
    </xf>
    <xf numFmtId="165" fontId="2" fillId="0" borderId="0" xfId="3" applyNumberFormat="1" applyFill="1" applyBorder="1" applyAlignment="1">
      <alignment horizontal="right" wrapText="1"/>
    </xf>
    <xf numFmtId="3" fontId="2" fillId="0" borderId="0" xfId="3" applyNumberForma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16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164" fontId="14" fillId="3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0" fontId="0" fillId="3" borderId="0" xfId="0" applyFill="1"/>
    <xf numFmtId="0" fontId="14" fillId="4" borderId="0" xfId="4" applyFont="1" applyFill="1" applyBorder="1" applyAlignment="1">
      <alignment vertical="top" wrapText="1"/>
    </xf>
    <xf numFmtId="164" fontId="14" fillId="4" borderId="0" xfId="4" applyNumberFormat="1" applyFont="1" applyFill="1" applyAlignment="1">
      <alignment horizontal="right"/>
    </xf>
    <xf numFmtId="164" fontId="14" fillId="4" borderId="0" xfId="0" applyNumberFormat="1" applyFont="1" applyFill="1"/>
    <xf numFmtId="0" fontId="0" fillId="4" borderId="0" xfId="0" applyFill="1"/>
    <xf numFmtId="0" fontId="14" fillId="4" borderId="0" xfId="4" applyFont="1" applyFill="1"/>
    <xf numFmtId="164" fontId="14" fillId="4" borderId="0" xfId="4" applyNumberFormat="1" applyFont="1" applyFill="1"/>
    <xf numFmtId="0" fontId="18" fillId="0" borderId="0" xfId="0" applyFont="1"/>
    <xf numFmtId="2" fontId="10" fillId="0" borderId="0" xfId="0" applyNumberFormat="1" applyFont="1"/>
    <xf numFmtId="0" fontId="10" fillId="2" borderId="0" xfId="0" applyFont="1" applyFill="1"/>
    <xf numFmtId="2" fontId="0" fillId="0" borderId="0" xfId="0" applyNumberFormat="1"/>
  </cellXfs>
  <cellStyles count="5">
    <cellStyle name="Bad" xfId="4"/>
    <cellStyle name="Hyperlink" xfId="1" builtinId="8"/>
    <cellStyle name="Normal" xfId="0" builtinId="0"/>
    <cellStyle name="Normal 2" xfId="3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57</xdr:row>
      <xdr:rowOff>135467</xdr:rowOff>
    </xdr:from>
    <xdr:to>
      <xdr:col>7</xdr:col>
      <xdr:colOff>461433</xdr:colOff>
      <xdr:row>57</xdr:row>
      <xdr:rowOff>135467</xdr:rowOff>
    </xdr:to>
    <xdr:cxnSp macro="">
      <xdr:nvCxnSpPr>
        <xdr:cNvPr id="2" name="Straight Connector 1"/>
        <xdr:cNvCxnSpPr/>
      </xdr:nvCxnSpPr>
      <xdr:spPr>
        <a:xfrm>
          <a:off x="25400" y="11006667"/>
          <a:ext cx="841163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40</xdr:row>
      <xdr:rowOff>0</xdr:rowOff>
    </xdr:from>
    <xdr:to>
      <xdr:col>14</xdr:col>
      <xdr:colOff>0</xdr:colOff>
      <xdr:row>40</xdr:row>
      <xdr:rowOff>12700</xdr:rowOff>
    </xdr:to>
    <xdr:cxnSp macro="">
      <xdr:nvCxnSpPr>
        <xdr:cNvPr id="2" name="Straight Connector 1"/>
        <xdr:cNvCxnSpPr/>
      </xdr:nvCxnSpPr>
      <xdr:spPr>
        <a:xfrm>
          <a:off x="12700" y="6096000"/>
          <a:ext cx="14744700" cy="127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1"/>
  <sheetViews>
    <sheetView topLeftCell="E1" workbookViewId="0">
      <selection activeCell="R14" sqref="R14"/>
    </sheetView>
  </sheetViews>
  <sheetFormatPr baseColWidth="10" defaultColWidth="9.5" defaultRowHeight="15"/>
  <cols>
    <col min="1" max="1" width="29.33203125" style="33" customWidth="1"/>
    <col min="2" max="2" width="11.83203125" style="33" customWidth="1"/>
    <col min="3" max="3" width="14" style="33" customWidth="1"/>
    <col min="4" max="4" width="9.5" style="33"/>
    <col min="5" max="5" width="12.6640625" style="33" customWidth="1"/>
    <col min="6" max="6" width="12.33203125" style="33" customWidth="1"/>
    <col min="7" max="7" width="15" style="33" customWidth="1"/>
    <col min="8" max="8" width="10.33203125" style="33" customWidth="1"/>
    <col min="9" max="9" width="13.33203125" style="34" customWidth="1"/>
    <col min="16" max="16" width="9.5" style="35"/>
  </cols>
  <sheetData>
    <row r="1" spans="1:18">
      <c r="A1" s="1" t="s">
        <v>43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5"/>
    </row>
    <row r="2" spans="1:18">
      <c r="A2" s="2"/>
      <c r="B2" s="6">
        <v>1984</v>
      </c>
      <c r="C2" s="6">
        <v>1988</v>
      </c>
      <c r="D2" s="6">
        <v>1990</v>
      </c>
      <c r="E2" s="6">
        <v>1992</v>
      </c>
      <c r="F2" s="7">
        <v>1996</v>
      </c>
      <c r="G2" s="7">
        <v>1998</v>
      </c>
      <c r="H2" s="7">
        <v>2000</v>
      </c>
      <c r="I2" s="8">
        <v>2002</v>
      </c>
      <c r="J2" s="7">
        <v>2004</v>
      </c>
      <c r="K2" s="4">
        <v>2006</v>
      </c>
      <c r="L2" s="4" t="s">
        <v>44</v>
      </c>
      <c r="M2" s="4">
        <v>2010</v>
      </c>
      <c r="N2" s="4">
        <v>2011</v>
      </c>
      <c r="O2" s="4">
        <v>2012</v>
      </c>
      <c r="P2" s="5" t="s">
        <v>45</v>
      </c>
    </row>
    <row r="3" spans="1:18">
      <c r="A3" s="2" t="s">
        <v>46</v>
      </c>
      <c r="B3" s="2">
        <v>848.3</v>
      </c>
      <c r="C3" s="2">
        <v>857.3</v>
      </c>
      <c r="D3" s="2">
        <v>1024.5</v>
      </c>
      <c r="E3" s="2">
        <v>980.5</v>
      </c>
      <c r="F3" s="9">
        <v>899.7</v>
      </c>
      <c r="G3" s="9">
        <v>930</v>
      </c>
      <c r="H3" s="2">
        <v>960.5</v>
      </c>
      <c r="I3" s="3">
        <v>1027.5999999999999</v>
      </c>
      <c r="J3" s="4">
        <v>1055.0999999999999</v>
      </c>
      <c r="K3" s="4">
        <v>1033.2</v>
      </c>
      <c r="L3" s="4">
        <v>1243.4000000000001</v>
      </c>
      <c r="M3" s="10">
        <v>1258.5999999999999</v>
      </c>
      <c r="N3" s="10">
        <v>1338.8</v>
      </c>
      <c r="O3" s="10">
        <v>1369.1</v>
      </c>
      <c r="P3" s="5">
        <v>1369.1</v>
      </c>
    </row>
    <row r="4" spans="1:18" s="2" customFormat="1">
      <c r="A4" s="2" t="s">
        <v>47</v>
      </c>
      <c r="B4" s="6"/>
      <c r="C4" s="6"/>
      <c r="D4" s="6"/>
      <c r="E4" s="6"/>
      <c r="F4" s="6"/>
      <c r="G4" s="6"/>
      <c r="H4" s="6"/>
      <c r="I4" s="11"/>
      <c r="M4" s="12"/>
      <c r="N4" s="13">
        <v>836.6</v>
      </c>
      <c r="O4" s="13">
        <v>810.8</v>
      </c>
      <c r="P4" s="14">
        <v>815.2</v>
      </c>
    </row>
    <row r="5" spans="1:18" s="2" customFormat="1">
      <c r="A5" s="2" t="s">
        <v>48</v>
      </c>
      <c r="B5" s="6"/>
      <c r="C5" s="6"/>
      <c r="D5" s="6"/>
      <c r="E5" s="6"/>
      <c r="F5" s="6"/>
      <c r="G5" s="6"/>
      <c r="H5" s="6"/>
      <c r="I5" s="15"/>
      <c r="L5" s="4">
        <v>840.1</v>
      </c>
      <c r="M5" s="16">
        <v>933.6</v>
      </c>
      <c r="N5" s="17" t="s">
        <v>47</v>
      </c>
      <c r="O5" s="11"/>
      <c r="P5" s="18"/>
    </row>
    <row r="6" spans="1:18" s="2" customFormat="1">
      <c r="A6" s="2" t="s">
        <v>49</v>
      </c>
      <c r="B6" s="6"/>
      <c r="C6" s="6"/>
      <c r="D6" s="6"/>
      <c r="E6" s="19"/>
      <c r="F6" s="6"/>
      <c r="G6" s="6"/>
      <c r="H6" s="6">
        <v>12.3</v>
      </c>
      <c r="I6" s="15">
        <v>559</v>
      </c>
      <c r="J6" s="2">
        <v>684</v>
      </c>
      <c r="K6" s="2">
        <v>776</v>
      </c>
      <c r="L6" s="2" t="s">
        <v>50</v>
      </c>
      <c r="M6" s="3"/>
      <c r="N6" s="3"/>
      <c r="O6" s="3"/>
      <c r="P6" s="20"/>
    </row>
    <row r="7" spans="1:18" s="2" customFormat="1">
      <c r="A7" s="2" t="s">
        <v>51</v>
      </c>
      <c r="B7" s="6">
        <v>144.6</v>
      </c>
      <c r="C7" s="6">
        <v>224</v>
      </c>
      <c r="D7" s="6">
        <v>165.2</v>
      </c>
      <c r="E7" s="6">
        <v>188.4</v>
      </c>
      <c r="F7" s="6">
        <v>216.2</v>
      </c>
      <c r="G7" s="6">
        <v>449</v>
      </c>
      <c r="H7" s="6">
        <v>497</v>
      </c>
      <c r="I7" s="15" t="s">
        <v>52</v>
      </c>
      <c r="M7" s="3"/>
      <c r="N7" s="3"/>
      <c r="O7" s="11"/>
      <c r="P7" s="21"/>
    </row>
    <row r="8" spans="1:18" s="2" customFormat="1" ht="16" customHeight="1">
      <c r="A8" s="2" t="s">
        <v>53</v>
      </c>
      <c r="B8" s="6">
        <v>17.899999999999999</v>
      </c>
      <c r="C8" s="6">
        <v>46.3</v>
      </c>
      <c r="D8" s="6">
        <v>55.8</v>
      </c>
      <c r="E8" s="6">
        <v>59</v>
      </c>
      <c r="F8" s="6">
        <v>61.3</v>
      </c>
      <c r="G8" s="6" t="s">
        <v>54</v>
      </c>
      <c r="H8" s="6"/>
      <c r="I8" s="15"/>
      <c r="P8" s="20"/>
    </row>
    <row r="9" spans="1:18" s="2" customFormat="1">
      <c r="A9" s="2" t="s">
        <v>55</v>
      </c>
      <c r="B9" s="6">
        <v>14.9</v>
      </c>
      <c r="C9" s="6">
        <v>17.600000000000001</v>
      </c>
      <c r="D9" s="6">
        <v>19.7</v>
      </c>
      <c r="E9" s="6">
        <v>15.1</v>
      </c>
      <c r="F9" s="6">
        <v>19.8</v>
      </c>
      <c r="G9" s="6" t="s">
        <v>56</v>
      </c>
      <c r="H9" s="6"/>
      <c r="I9" s="15"/>
      <c r="P9" s="20"/>
    </row>
    <row r="10" spans="1:18" s="2" customFormat="1">
      <c r="A10" s="2" t="s">
        <v>57</v>
      </c>
      <c r="B10" s="6">
        <v>15.7</v>
      </c>
      <c r="C10" s="6">
        <v>17</v>
      </c>
      <c r="D10" s="6">
        <v>18.399999999999999</v>
      </c>
      <c r="E10" s="6" t="s">
        <v>58</v>
      </c>
      <c r="F10" s="6"/>
      <c r="G10" s="6"/>
      <c r="H10" s="6"/>
      <c r="I10" s="15"/>
      <c r="P10" s="20"/>
    </row>
    <row r="11" spans="1:18" s="2" customFormat="1">
      <c r="A11" s="2" t="s">
        <v>59</v>
      </c>
      <c r="B11" s="6">
        <v>16.3</v>
      </c>
      <c r="C11" s="6">
        <v>19.2</v>
      </c>
      <c r="D11" s="6" t="s">
        <v>60</v>
      </c>
      <c r="E11" s="6"/>
      <c r="F11" s="6"/>
      <c r="G11" s="6"/>
      <c r="H11" s="6"/>
      <c r="I11" s="15"/>
      <c r="P11" s="20"/>
    </row>
    <row r="12" spans="1:18" s="2" customFormat="1">
      <c r="A12" s="2" t="s">
        <v>61</v>
      </c>
      <c r="B12" s="6">
        <v>4.4000000000000004</v>
      </c>
      <c r="C12" s="6">
        <v>5.0999999999999996</v>
      </c>
      <c r="D12" s="6" t="s">
        <v>60</v>
      </c>
      <c r="E12" s="6"/>
      <c r="F12" s="6"/>
      <c r="G12" s="6"/>
      <c r="H12" s="6"/>
      <c r="I12" s="15"/>
      <c r="P12" s="20"/>
    </row>
    <row r="13" spans="1:18" s="2" customFormat="1">
      <c r="A13" s="2" t="s">
        <v>62</v>
      </c>
      <c r="B13" s="6">
        <v>5.6</v>
      </c>
      <c r="C13" s="6">
        <v>6.1</v>
      </c>
      <c r="D13" s="6" t="s">
        <v>60</v>
      </c>
      <c r="E13" s="22"/>
      <c r="F13" s="22"/>
      <c r="G13" s="6"/>
      <c r="H13" s="6"/>
      <c r="I13" s="15"/>
      <c r="P13" s="20"/>
    </row>
    <row r="14" spans="1:18" s="2" customFormat="1">
      <c r="A14" s="2" t="s">
        <v>63</v>
      </c>
      <c r="B14" s="6">
        <v>9</v>
      </c>
      <c r="C14" s="6" t="s">
        <v>64</v>
      </c>
      <c r="D14" s="6"/>
      <c r="E14" s="6"/>
      <c r="F14" s="6"/>
      <c r="G14" s="6"/>
      <c r="H14" s="6"/>
      <c r="I14" s="15"/>
      <c r="P14" s="20"/>
    </row>
    <row r="15" spans="1:18" s="2" customFormat="1">
      <c r="A15" s="2" t="s">
        <v>65</v>
      </c>
      <c r="B15" s="6">
        <v>73.900000000000006</v>
      </c>
      <c r="C15" s="6">
        <v>108</v>
      </c>
      <c r="D15" s="6">
        <v>117</v>
      </c>
      <c r="E15" s="6">
        <v>126.5</v>
      </c>
      <c r="F15" s="6">
        <v>120</v>
      </c>
      <c r="G15" s="6">
        <v>123</v>
      </c>
      <c r="H15" s="6">
        <v>124</v>
      </c>
      <c r="I15" s="15">
        <v>167</v>
      </c>
      <c r="J15" s="2">
        <v>166</v>
      </c>
      <c r="K15" s="2">
        <v>227</v>
      </c>
      <c r="L15" s="2" t="s">
        <v>66</v>
      </c>
      <c r="P15" s="20"/>
    </row>
    <row r="16" spans="1:18" s="2" customFormat="1">
      <c r="A16" s="2" t="s">
        <v>67</v>
      </c>
      <c r="B16" s="6"/>
      <c r="C16" s="6"/>
      <c r="D16" s="6"/>
      <c r="E16" s="6"/>
      <c r="F16" s="6"/>
      <c r="G16" s="6"/>
      <c r="H16" s="6">
        <v>46</v>
      </c>
      <c r="I16" s="15">
        <v>49</v>
      </c>
      <c r="J16" s="2" t="s">
        <v>68</v>
      </c>
      <c r="L16" s="6"/>
      <c r="M16" s="6"/>
      <c r="N16" s="6"/>
      <c r="O16" s="7"/>
      <c r="P16" s="23"/>
      <c r="Q16" s="7"/>
      <c r="R16" s="8"/>
    </row>
    <row r="17" spans="1:18" s="2" customFormat="1">
      <c r="A17" s="2" t="s">
        <v>69</v>
      </c>
      <c r="B17" s="6"/>
      <c r="C17" s="22"/>
      <c r="D17" s="22"/>
      <c r="E17" s="22"/>
      <c r="F17" s="22">
        <v>24.6</v>
      </c>
      <c r="G17" s="22"/>
      <c r="H17" s="22">
        <v>8.75409096884683</v>
      </c>
      <c r="I17" s="24"/>
      <c r="J17" s="6">
        <v>20.3</v>
      </c>
      <c r="K17" s="22">
        <v>24.603280841815</v>
      </c>
      <c r="L17" s="6">
        <v>27.5</v>
      </c>
      <c r="M17" s="6">
        <v>519.79999999999995</v>
      </c>
      <c r="N17" s="2">
        <v>564.4</v>
      </c>
      <c r="O17" s="6">
        <v>488.7</v>
      </c>
      <c r="P17" s="25">
        <v>488.7</v>
      </c>
      <c r="Q17" s="6"/>
      <c r="R17" s="15"/>
    </row>
    <row r="18" spans="1:18" s="29" customFormat="1">
      <c r="A18" s="26" t="s">
        <v>70</v>
      </c>
      <c r="B18" s="27"/>
      <c r="C18" s="28"/>
      <c r="D18" s="28"/>
      <c r="E18" s="28"/>
      <c r="F18" s="28"/>
      <c r="G18" s="28"/>
      <c r="H18" s="28"/>
      <c r="I18" s="28"/>
      <c r="J18" s="27"/>
      <c r="K18" s="28"/>
      <c r="L18" s="27"/>
      <c r="M18" s="27">
        <v>495</v>
      </c>
      <c r="N18" s="29">
        <v>522.1</v>
      </c>
      <c r="O18" s="27">
        <v>446.8</v>
      </c>
      <c r="P18" s="28">
        <v>446.8</v>
      </c>
      <c r="Q18" s="27"/>
      <c r="R18" s="27"/>
    </row>
    <row r="19" spans="1:18" s="29" customFormat="1">
      <c r="A19" s="26" t="s">
        <v>71</v>
      </c>
      <c r="B19" s="27"/>
      <c r="C19" s="28"/>
      <c r="D19" s="28"/>
      <c r="E19" s="28"/>
      <c r="F19" s="28"/>
      <c r="G19" s="28"/>
      <c r="H19" s="28">
        <v>8.8000000000000007</v>
      </c>
      <c r="I19" s="28">
        <v>17.4285992925223</v>
      </c>
      <c r="J19" s="27">
        <v>20.3</v>
      </c>
      <c r="K19" s="28">
        <v>24.603280841815</v>
      </c>
      <c r="L19" s="27">
        <v>27.5</v>
      </c>
      <c r="M19" s="27">
        <v>24.8000000000001</v>
      </c>
      <c r="N19" s="29">
        <v>42.300000000000097</v>
      </c>
      <c r="O19" s="27">
        <v>41.9</v>
      </c>
      <c r="P19" s="28">
        <v>41.9</v>
      </c>
      <c r="Q19" s="27"/>
      <c r="R19" s="27"/>
    </row>
    <row r="20" spans="1:18" s="2" customFormat="1">
      <c r="A20" s="2" t="s">
        <v>72</v>
      </c>
      <c r="B20" s="6">
        <v>84.8</v>
      </c>
      <c r="C20" s="6">
        <v>141.6</v>
      </c>
      <c r="D20" s="6">
        <v>212.4</v>
      </c>
      <c r="E20" s="6">
        <v>243.9</v>
      </c>
      <c r="F20" s="6">
        <v>336</v>
      </c>
      <c r="G20" s="6">
        <v>408</v>
      </c>
      <c r="H20" s="6">
        <v>602</v>
      </c>
      <c r="I20" s="15">
        <v>629</v>
      </c>
      <c r="J20" s="2">
        <v>672</v>
      </c>
      <c r="K20" s="2">
        <v>594</v>
      </c>
      <c r="L20" s="2">
        <v>584.79999999999995</v>
      </c>
      <c r="M20" s="2" t="s">
        <v>73</v>
      </c>
      <c r="P20" s="20"/>
    </row>
    <row r="21" spans="1:18" s="2" customFormat="1">
      <c r="A21" s="2" t="s">
        <v>74</v>
      </c>
      <c r="B21" s="6">
        <v>58.4</v>
      </c>
      <c r="C21" s="6">
        <v>72.5</v>
      </c>
      <c r="D21" s="6">
        <v>136.9</v>
      </c>
      <c r="E21" s="6">
        <v>198.2</v>
      </c>
      <c r="F21" s="6">
        <v>275.89999999999998</v>
      </c>
      <c r="G21" s="6">
        <v>340.5</v>
      </c>
      <c r="H21" s="6" t="s">
        <v>75</v>
      </c>
      <c r="I21" s="15"/>
      <c r="P21" s="20"/>
    </row>
    <row r="22" spans="1:18" s="2" customFormat="1">
      <c r="A22" s="2" t="s">
        <v>76</v>
      </c>
      <c r="B22" s="6">
        <v>15.7</v>
      </c>
      <c r="C22" s="6">
        <v>18.5</v>
      </c>
      <c r="D22" s="6">
        <v>45.7</v>
      </c>
      <c r="E22" s="6">
        <v>40.799999999999997</v>
      </c>
      <c r="F22" s="6">
        <v>149.6</v>
      </c>
      <c r="G22" s="22">
        <v>72</v>
      </c>
      <c r="H22" s="6">
        <v>76.400000000000006</v>
      </c>
      <c r="I22" s="15">
        <v>76</v>
      </c>
      <c r="J22" s="30">
        <v>75.7</v>
      </c>
      <c r="K22" s="2">
        <v>72</v>
      </c>
      <c r="L22" s="3">
        <v>204.8</v>
      </c>
      <c r="M22" s="3">
        <v>247</v>
      </c>
      <c r="N22" s="2">
        <v>298.5</v>
      </c>
      <c r="O22" s="2">
        <v>290.7</v>
      </c>
      <c r="P22" s="20">
        <v>290.7</v>
      </c>
    </row>
    <row r="23" spans="1:18" s="2" customFormat="1">
      <c r="A23" s="2" t="s">
        <v>77</v>
      </c>
      <c r="B23" s="6">
        <v>22.6</v>
      </c>
      <c r="C23" s="6">
        <v>104.2</v>
      </c>
      <c r="D23" s="6" t="s">
        <v>78</v>
      </c>
      <c r="E23" s="6">
        <v>130.69999999999999</v>
      </c>
      <c r="F23" s="6" t="s">
        <v>79</v>
      </c>
      <c r="G23" s="6"/>
      <c r="H23" s="6"/>
      <c r="I23" s="15"/>
      <c r="P23" s="20"/>
    </row>
    <row r="24" spans="1:18" s="2" customFormat="1">
      <c r="A24" s="2" t="s">
        <v>80</v>
      </c>
      <c r="B24" s="6">
        <v>95.5</v>
      </c>
      <c r="C24" s="6">
        <v>122.8</v>
      </c>
      <c r="D24" s="6" t="s">
        <v>81</v>
      </c>
      <c r="E24" s="6"/>
      <c r="F24" s="6"/>
      <c r="G24" s="6"/>
      <c r="H24" s="6"/>
      <c r="I24" s="15"/>
      <c r="J24" s="9"/>
      <c r="P24" s="20"/>
    </row>
    <row r="25" spans="1:18" s="2" customFormat="1">
      <c r="A25" s="2" t="s">
        <v>82</v>
      </c>
      <c r="B25" s="6"/>
      <c r="C25" s="6"/>
      <c r="D25" s="6"/>
      <c r="E25" s="6"/>
      <c r="F25" s="6"/>
      <c r="G25" s="6">
        <v>46</v>
      </c>
      <c r="H25" s="6">
        <v>254</v>
      </c>
      <c r="I25" s="15">
        <v>241</v>
      </c>
      <c r="J25" s="2">
        <v>273</v>
      </c>
      <c r="K25" s="2">
        <v>295</v>
      </c>
      <c r="L25" s="2">
        <v>248.4</v>
      </c>
      <c r="M25" s="2">
        <v>252.2</v>
      </c>
      <c r="N25" s="2">
        <v>260.2</v>
      </c>
      <c r="O25" s="2">
        <v>256.60000000000002</v>
      </c>
      <c r="P25" s="20">
        <v>256.60000000000002</v>
      </c>
    </row>
    <row r="26" spans="1:18" s="2" customFormat="1">
      <c r="A26" s="2" t="s">
        <v>83</v>
      </c>
      <c r="B26" s="6">
        <v>97.8</v>
      </c>
      <c r="C26" s="6">
        <v>131.69999999999999</v>
      </c>
      <c r="D26" s="6">
        <v>158.69999999999999</v>
      </c>
      <c r="E26" s="6">
        <v>184.1</v>
      </c>
      <c r="F26" s="6">
        <v>198.7</v>
      </c>
      <c r="G26" s="6" t="s">
        <v>84</v>
      </c>
      <c r="H26" s="6"/>
      <c r="I26" s="15"/>
      <c r="P26" s="20"/>
    </row>
    <row r="27" spans="1:18" s="2" customFormat="1">
      <c r="A27" s="2" t="s">
        <v>85</v>
      </c>
      <c r="B27" s="6">
        <v>84.8</v>
      </c>
      <c r="C27" s="6" t="s">
        <v>86</v>
      </c>
      <c r="D27" s="6"/>
      <c r="E27" s="6"/>
      <c r="F27" s="6"/>
      <c r="G27" s="6"/>
      <c r="H27" s="6"/>
      <c r="I27" s="15"/>
      <c r="P27" s="20"/>
    </row>
    <row r="28" spans="1:18" s="2" customFormat="1">
      <c r="A28" s="2" t="s">
        <v>87</v>
      </c>
      <c r="B28" s="6">
        <v>17</v>
      </c>
      <c r="C28" s="6">
        <v>20</v>
      </c>
      <c r="D28" s="6" t="s">
        <v>88</v>
      </c>
      <c r="E28" s="6"/>
      <c r="F28" s="6"/>
      <c r="G28" s="6"/>
      <c r="H28" s="6"/>
      <c r="I28" s="15"/>
      <c r="P28" s="20"/>
    </row>
    <row r="29" spans="1:18" s="2" customFormat="1">
      <c r="A29" s="2" t="s">
        <v>89</v>
      </c>
      <c r="B29" s="6"/>
      <c r="C29" s="6"/>
      <c r="D29" s="6"/>
      <c r="E29" s="6"/>
      <c r="F29" s="6"/>
      <c r="G29" s="6"/>
      <c r="H29" s="6"/>
      <c r="I29" s="15"/>
      <c r="L29" s="3">
        <v>97.7</v>
      </c>
      <c r="M29" s="2">
        <v>61.9</v>
      </c>
      <c r="N29" s="2">
        <v>66.5</v>
      </c>
      <c r="O29" s="2">
        <v>73.2</v>
      </c>
      <c r="P29" s="20">
        <v>73.2</v>
      </c>
    </row>
    <row r="30" spans="1:18">
      <c r="A30" s="2" t="s">
        <v>90</v>
      </c>
      <c r="B30" s="6">
        <v>6.6</v>
      </c>
      <c r="C30" s="6">
        <v>18.399999999999999</v>
      </c>
      <c r="D30" s="6">
        <v>43.5</v>
      </c>
      <c r="E30" s="6">
        <v>66.2</v>
      </c>
      <c r="F30" s="6">
        <v>70</v>
      </c>
      <c r="G30" s="6">
        <v>29.3</v>
      </c>
      <c r="H30" s="6">
        <v>37.200000000000003</v>
      </c>
      <c r="I30" s="15">
        <v>84</v>
      </c>
      <c r="J30" s="4">
        <v>113</v>
      </c>
      <c r="K30" s="4">
        <v>106</v>
      </c>
      <c r="L30" s="4" t="s">
        <v>91</v>
      </c>
      <c r="M30" s="4"/>
      <c r="N30" s="4"/>
      <c r="O30" s="4"/>
      <c r="P30" s="5"/>
    </row>
    <row r="31" spans="1:18">
      <c r="A31" s="2" t="s">
        <v>92</v>
      </c>
      <c r="B31" s="6"/>
      <c r="C31" s="6"/>
      <c r="D31" s="6"/>
      <c r="E31" s="6"/>
      <c r="F31" s="6"/>
      <c r="G31" s="6">
        <v>6.2</v>
      </c>
      <c r="H31" s="6">
        <v>52</v>
      </c>
      <c r="I31" s="15" t="s">
        <v>93</v>
      </c>
      <c r="J31" s="4"/>
      <c r="K31" s="4"/>
      <c r="L31" s="4"/>
      <c r="M31" s="4"/>
      <c r="N31" s="4"/>
      <c r="O31" s="4"/>
      <c r="P31" s="5"/>
    </row>
    <row r="32" spans="1:18">
      <c r="A32" s="2" t="s">
        <v>94</v>
      </c>
      <c r="B32" s="6">
        <v>74.3</v>
      </c>
      <c r="C32" s="6">
        <v>69.8</v>
      </c>
      <c r="D32" s="6">
        <v>108.9</v>
      </c>
      <c r="E32" s="6">
        <v>103.3</v>
      </c>
      <c r="F32" s="6">
        <v>65.099999999999994</v>
      </c>
      <c r="G32" s="6" t="s">
        <v>95</v>
      </c>
      <c r="H32" s="6"/>
      <c r="I32" s="15"/>
      <c r="J32" s="4"/>
      <c r="K32" s="4"/>
      <c r="L32" s="4"/>
      <c r="M32" s="4"/>
      <c r="N32" s="4"/>
      <c r="O32" s="4"/>
      <c r="P32" s="5"/>
    </row>
    <row r="33" spans="1:16">
      <c r="A33" s="2" t="s">
        <v>96</v>
      </c>
      <c r="B33" s="6">
        <v>7</v>
      </c>
      <c r="C33" s="6">
        <v>11.5</v>
      </c>
      <c r="D33" s="6">
        <v>13.9</v>
      </c>
      <c r="E33" s="6">
        <v>15.9</v>
      </c>
      <c r="F33" s="6">
        <v>17.399999999999999</v>
      </c>
      <c r="G33" s="6">
        <v>17.600000000000001</v>
      </c>
      <c r="H33" s="6">
        <v>21.4</v>
      </c>
      <c r="I33" s="15">
        <v>26.1</v>
      </c>
      <c r="J33" s="4">
        <v>32.5</v>
      </c>
      <c r="K33" s="4">
        <v>26.5</v>
      </c>
      <c r="L33" s="4">
        <v>34.1</v>
      </c>
      <c r="M33" s="4">
        <v>38.1</v>
      </c>
      <c r="N33" s="4">
        <v>39.1</v>
      </c>
      <c r="O33" s="4">
        <v>40.1</v>
      </c>
      <c r="P33" s="5">
        <v>40.1</v>
      </c>
    </row>
    <row r="34" spans="1:16" s="2" customFormat="1">
      <c r="A34" s="2" t="s">
        <v>97</v>
      </c>
      <c r="B34" s="6">
        <v>32.799999999999997</v>
      </c>
      <c r="C34" s="6">
        <v>115.2</v>
      </c>
      <c r="D34" s="6">
        <v>135.30000000000001</v>
      </c>
      <c r="E34" s="6">
        <v>159.19999999999999</v>
      </c>
      <c r="F34" s="6">
        <v>377.3</v>
      </c>
      <c r="G34" s="6">
        <v>268.7</v>
      </c>
      <c r="H34" s="6">
        <v>139.69999999999999</v>
      </c>
      <c r="I34" s="15">
        <v>160.80000000000001</v>
      </c>
      <c r="J34" s="2">
        <v>12.3</v>
      </c>
      <c r="K34" s="2">
        <v>21.9</v>
      </c>
      <c r="L34" s="2">
        <v>83.2</v>
      </c>
      <c r="M34" s="2">
        <v>90.6</v>
      </c>
      <c r="N34" s="2">
        <v>85</v>
      </c>
      <c r="O34" s="2">
        <v>248.10000000000099</v>
      </c>
      <c r="P34" s="20">
        <v>243.7</v>
      </c>
    </row>
    <row r="35" spans="1:16">
      <c r="A35" s="2" t="s">
        <v>98</v>
      </c>
      <c r="B35" s="6">
        <v>41</v>
      </c>
      <c r="C35" s="6">
        <v>34</v>
      </c>
      <c r="D35" s="6">
        <v>27</v>
      </c>
      <c r="E35" s="6">
        <v>27</v>
      </c>
      <c r="F35" s="6">
        <v>24</v>
      </c>
      <c r="G35" s="6">
        <v>21</v>
      </c>
      <c r="H35" s="6">
        <v>20</v>
      </c>
      <c r="I35" s="15">
        <v>16</v>
      </c>
      <c r="J35" s="4">
        <v>16</v>
      </c>
      <c r="K35" s="4">
        <v>16</v>
      </c>
      <c r="L35" s="4">
        <v>15</v>
      </c>
      <c r="M35" s="4">
        <v>13</v>
      </c>
      <c r="N35" s="4"/>
      <c r="O35" s="4"/>
      <c r="P35" s="5"/>
    </row>
    <row r="36" spans="1:16">
      <c r="A36" s="2" t="s">
        <v>99</v>
      </c>
      <c r="B36" s="6">
        <v>1747.9</v>
      </c>
      <c r="C36" s="22">
        <v>2127.4</v>
      </c>
      <c r="D36" s="6">
        <v>2378.8000000000002</v>
      </c>
      <c r="E36" s="6">
        <v>2531.8000000000002</v>
      </c>
      <c r="F36" s="6">
        <v>2831.6</v>
      </c>
      <c r="G36" s="6">
        <v>2754.5</v>
      </c>
      <c r="H36" s="6">
        <v>2840</v>
      </c>
      <c r="I36" s="15">
        <v>2928.5</v>
      </c>
      <c r="J36" s="4">
        <v>3159.9</v>
      </c>
      <c r="K36" s="4">
        <v>3176.2</v>
      </c>
      <c r="L36" s="4">
        <v>3381.4</v>
      </c>
      <c r="M36" s="4">
        <v>3405.6</v>
      </c>
      <c r="N36" s="4">
        <v>3491.9</v>
      </c>
      <c r="O36" s="4">
        <v>3407.3</v>
      </c>
      <c r="P36" s="5">
        <v>3407.3</v>
      </c>
    </row>
    <row r="37" spans="1:16">
      <c r="A37" s="2" t="s">
        <v>100</v>
      </c>
      <c r="B37" s="22">
        <v>66.508381486355049</v>
      </c>
      <c r="C37" s="22">
        <v>63.673968224123335</v>
      </c>
      <c r="D37" s="22">
        <v>65.612914074323186</v>
      </c>
      <c r="E37" s="22">
        <v>63.5</v>
      </c>
      <c r="F37" s="22">
        <v>61</v>
      </c>
      <c r="G37" s="22">
        <v>77.275058994372856</v>
      </c>
      <c r="H37" s="22">
        <v>81.461267605633793</v>
      </c>
      <c r="I37" s="24">
        <v>83.885948437766785</v>
      </c>
      <c r="J37" s="31">
        <v>84.942561473464337</v>
      </c>
      <c r="K37" s="31">
        <v>84.660915559473594</v>
      </c>
      <c r="L37" s="31">
        <v>85.958478736617963</v>
      </c>
      <c r="M37" s="31">
        <v>87.038994597134121</v>
      </c>
      <c r="N37" s="31">
        <v>87.009937283427362</v>
      </c>
      <c r="O37" s="31">
        <v>82.9</v>
      </c>
      <c r="P37" s="32">
        <v>87.20981422240483</v>
      </c>
    </row>
    <row r="38" spans="1:16">
      <c r="A38" s="2" t="s">
        <v>101</v>
      </c>
      <c r="B38" s="22">
        <v>2586.6045899044757</v>
      </c>
      <c r="C38" s="22">
        <v>1936.6637610275993</v>
      </c>
      <c r="D38" s="22">
        <v>2146.6801158490148</v>
      </c>
      <c r="E38" s="22">
        <v>1843.56</v>
      </c>
      <c r="F38" s="22">
        <v>1416.6599999999996</v>
      </c>
      <c r="G38" s="22">
        <v>1809.877579418303</v>
      </c>
      <c r="H38" s="22">
        <v>2014.2242858559812</v>
      </c>
      <c r="I38" s="24">
        <v>2177.3873237258531</v>
      </c>
      <c r="J38" s="31">
        <v>2161.2127024082865</v>
      </c>
      <c r="K38" s="31">
        <v>2148.986647871779</v>
      </c>
      <c r="L38" s="31">
        <v>2354.448232485664</v>
      </c>
      <c r="M38" s="31">
        <v>2462.5354347347807</v>
      </c>
      <c r="N38" s="31">
        <v>2438.8807857619877</v>
      </c>
      <c r="O38" s="31">
        <v>2287.883934544051</v>
      </c>
      <c r="P38" s="32">
        <v>2526.7847072636177</v>
      </c>
    </row>
    <row r="41" spans="1:16">
      <c r="A41" s="33" t="s">
        <v>102</v>
      </c>
    </row>
  </sheetData>
  <sheetCalcPr fullCalcOnLoad="1"/>
  <phoneticPr fontId="4" type="noConversion"/>
  <pageMargins left="0.75000000000000011" right="0.75000000000000011" top="1" bottom="1" header="0.5" footer="0.5"/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C42"/>
  <sheetViews>
    <sheetView tabSelected="1" topLeftCell="I1" workbookViewId="0">
      <selection activeCell="T25" sqref="T25"/>
    </sheetView>
  </sheetViews>
  <sheetFormatPr baseColWidth="10" defaultRowHeight="15"/>
  <cols>
    <col min="1" max="1" width="29.5" customWidth="1"/>
    <col min="2" max="2" width="10.83203125" style="2"/>
    <col min="3" max="3" width="14.1640625" customWidth="1"/>
    <col min="4" max="4" width="14.5" customWidth="1"/>
    <col min="6" max="6" width="11.33203125" customWidth="1"/>
    <col min="7" max="7" width="25.1640625" customWidth="1"/>
    <col min="10" max="10" width="18.33203125" customWidth="1"/>
    <col min="11" max="11" width="0" hidden="1" customWidth="1"/>
    <col min="12" max="12" width="15.6640625" style="2" customWidth="1"/>
    <col min="13" max="14" width="10.83203125" style="2"/>
    <col min="15" max="15" width="10.83203125" style="76"/>
    <col min="16" max="16" width="10.83203125" style="35"/>
  </cols>
  <sheetData>
    <row r="1" spans="1:29">
      <c r="A1" s="36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9"/>
    </row>
    <row r="2" spans="1:29">
      <c r="A2" s="37"/>
      <c r="B2" s="40">
        <v>1984</v>
      </c>
      <c r="C2" s="40">
        <v>1988</v>
      </c>
      <c r="D2" s="40">
        <v>1990</v>
      </c>
      <c r="E2" s="40">
        <v>1992</v>
      </c>
      <c r="F2" s="40">
        <v>1996</v>
      </c>
      <c r="G2" s="40">
        <v>1998</v>
      </c>
      <c r="H2" s="40">
        <v>2000</v>
      </c>
      <c r="I2" s="40">
        <v>2002</v>
      </c>
      <c r="J2" s="40">
        <v>2004</v>
      </c>
      <c r="K2" s="40">
        <v>2006</v>
      </c>
      <c r="L2" s="40" t="s">
        <v>44</v>
      </c>
      <c r="M2" s="40">
        <v>2010</v>
      </c>
      <c r="N2" s="40">
        <v>2011</v>
      </c>
      <c r="O2" s="41">
        <v>2012</v>
      </c>
      <c r="P2" s="39" t="s">
        <v>45</v>
      </c>
    </row>
    <row r="3" spans="1:29">
      <c r="A3" s="37" t="s">
        <v>104</v>
      </c>
      <c r="B3" s="42">
        <f>848.3/B35*100</f>
        <v>48.532524743978485</v>
      </c>
      <c r="C3" s="42">
        <f>857.3/C35*100</f>
        <v>40.298016357995671</v>
      </c>
      <c r="D3" s="42">
        <f>1024.5/D35*100</f>
        <v>43.067933411804269</v>
      </c>
      <c r="E3" s="42">
        <v>38.700000000000003</v>
      </c>
      <c r="F3" s="42">
        <v>31.8</v>
      </c>
      <c r="G3" s="42">
        <f>930/G35*100</f>
        <v>33.762933381738975</v>
      </c>
      <c r="H3" s="42">
        <f>960.5/H35*100</f>
        <v>33.820422535211272</v>
      </c>
      <c r="I3" s="42">
        <f>1027.6/I35*100</f>
        <v>35.089636332593479</v>
      </c>
      <c r="J3" s="42">
        <f>1055.1/J35*100</f>
        <v>33.39029716130257</v>
      </c>
      <c r="K3" s="42">
        <f>1033.2/K35*100</f>
        <v>32.532510469473216</v>
      </c>
      <c r="L3" s="42">
        <f>1243.4/L35*100</f>
        <v>36.771751345596499</v>
      </c>
      <c r="M3" s="42">
        <f>1258.6/M35*100</f>
        <v>36.956777073056138</v>
      </c>
      <c r="N3" s="42">
        <f>1338.8/N35*100</f>
        <v>38.34015865288238</v>
      </c>
      <c r="O3" s="43">
        <f>1369.1/O35*100</f>
        <v>40.181375282481724</v>
      </c>
      <c r="P3" s="44">
        <f>1369.1/P35*100</f>
        <v>40.181375282481724</v>
      </c>
      <c r="Q3" s="45"/>
      <c r="R3" s="46"/>
      <c r="S3" s="45"/>
      <c r="T3" s="45"/>
      <c r="U3" s="45"/>
      <c r="V3" s="45"/>
      <c r="W3" s="45"/>
      <c r="X3" s="45"/>
      <c r="Y3" s="45"/>
      <c r="Z3" s="47"/>
      <c r="AA3" s="47"/>
      <c r="AB3" s="47"/>
    </row>
    <row r="4" spans="1:29">
      <c r="A4" s="37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>
        <f>836.6/N35*100</f>
        <v>23.958303502391249</v>
      </c>
      <c r="O4" s="43">
        <f>810.8/O35*100</f>
        <v>23.795967481583656</v>
      </c>
      <c r="P4" s="44">
        <f>815.2/P35*100</f>
        <v>23.925101986910459</v>
      </c>
      <c r="Q4" s="48"/>
      <c r="R4" s="46"/>
      <c r="S4" s="48"/>
      <c r="T4" s="49"/>
      <c r="U4" s="48"/>
      <c r="V4" s="48"/>
      <c r="W4" s="48"/>
      <c r="X4" s="48"/>
      <c r="Y4" s="49"/>
      <c r="Z4" s="47"/>
      <c r="AA4" s="47"/>
      <c r="AB4" s="47"/>
    </row>
    <row r="5" spans="1:29">
      <c r="A5" s="37" t="s">
        <v>105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>
        <f>830/L35*100</f>
        <v>24.546046016442894</v>
      </c>
      <c r="M5" s="42">
        <f>933.6/M35*100</f>
        <v>27.413671599718114</v>
      </c>
      <c r="N5" s="42" t="s">
        <v>47</v>
      </c>
      <c r="O5" s="43"/>
      <c r="P5" s="44"/>
      <c r="Q5" s="45"/>
      <c r="R5" s="46"/>
      <c r="S5" s="45"/>
      <c r="T5" s="45"/>
      <c r="U5" s="45"/>
      <c r="V5" s="45"/>
      <c r="W5" s="50"/>
      <c r="X5" s="50"/>
      <c r="Y5" s="50"/>
      <c r="Z5" s="50"/>
      <c r="AA5" s="50"/>
      <c r="AB5" s="50"/>
    </row>
    <row r="6" spans="1:29">
      <c r="A6" s="37" t="s">
        <v>106</v>
      </c>
      <c r="B6" s="42"/>
      <c r="C6" s="42"/>
      <c r="D6" s="42"/>
      <c r="E6" s="42"/>
      <c r="F6" s="42"/>
      <c r="G6" s="42"/>
      <c r="H6" s="42">
        <f>12.3/H35*100</f>
        <v>0.43309859154929581</v>
      </c>
      <c r="I6" s="42">
        <f>559/I35*100</f>
        <v>19.088270445620626</v>
      </c>
      <c r="J6" s="42">
        <f>684/J35*100</f>
        <v>21.64625462831102</v>
      </c>
      <c r="K6" s="42">
        <f>776/K35*100</f>
        <v>24.434018703359676</v>
      </c>
      <c r="L6" s="42" t="s">
        <v>107</v>
      </c>
      <c r="M6" s="42"/>
      <c r="N6" s="42"/>
      <c r="O6" s="43"/>
      <c r="P6" s="44"/>
      <c r="R6" s="46"/>
      <c r="T6" s="51"/>
      <c r="Y6" s="51"/>
    </row>
    <row r="7" spans="1:29">
      <c r="A7" s="37" t="s">
        <v>3</v>
      </c>
      <c r="B7" s="42">
        <f>144.6/B35*100</f>
        <v>8.2727844842382279</v>
      </c>
      <c r="C7" s="42">
        <f>224/C35*100</f>
        <v>10.529284572717872</v>
      </c>
      <c r="D7" s="42">
        <f>165.2/D35*100</f>
        <v>6.9446779889019661</v>
      </c>
      <c r="E7" s="42">
        <v>7.4</v>
      </c>
      <c r="F7" s="42">
        <v>7.6</v>
      </c>
      <c r="G7" s="42" t="s">
        <v>4</v>
      </c>
      <c r="H7" s="42">
        <f>497/H35*100</f>
        <v>17.5</v>
      </c>
      <c r="I7" s="42"/>
      <c r="J7" s="42"/>
      <c r="K7" s="42"/>
      <c r="L7" s="42"/>
      <c r="M7" s="42"/>
      <c r="N7" s="42"/>
      <c r="O7" s="43"/>
      <c r="P7" s="44"/>
      <c r="R7" s="46"/>
    </row>
    <row r="8" spans="1:29" ht="19" hidden="1" customHeight="1">
      <c r="A8" s="37" t="s">
        <v>5</v>
      </c>
      <c r="B8" s="42">
        <v>1</v>
      </c>
      <c r="C8" s="42">
        <v>2.2000000000000002</v>
      </c>
      <c r="D8" s="42">
        <v>2.2999999999999998</v>
      </c>
      <c r="E8" s="42">
        <v>2.2999999999999998</v>
      </c>
      <c r="F8" s="42">
        <v>2.2000000000000002</v>
      </c>
      <c r="G8" s="42" t="s">
        <v>6</v>
      </c>
      <c r="H8" s="42"/>
      <c r="I8" s="42"/>
      <c r="J8" s="42"/>
      <c r="K8" s="42"/>
      <c r="L8" s="42"/>
      <c r="M8" s="42"/>
      <c r="N8" s="42"/>
      <c r="O8" s="43"/>
      <c r="P8" s="44"/>
      <c r="R8" s="46"/>
    </row>
    <row r="9" spans="1:29" ht="15" hidden="1" customHeight="1">
      <c r="A9" s="37" t="s">
        <v>7</v>
      </c>
      <c r="B9" s="42">
        <v>0.8</v>
      </c>
      <c r="C9" s="42">
        <v>0.8</v>
      </c>
      <c r="D9" s="42">
        <v>0.8</v>
      </c>
      <c r="E9" s="42">
        <v>0.6</v>
      </c>
      <c r="F9" s="42">
        <v>0.7</v>
      </c>
      <c r="G9" s="42" t="s">
        <v>8</v>
      </c>
      <c r="H9" s="42"/>
      <c r="I9" s="42"/>
      <c r="J9" s="42"/>
      <c r="K9" s="42"/>
      <c r="L9" s="42"/>
      <c r="M9" s="42"/>
      <c r="N9" s="42"/>
      <c r="O9" s="43"/>
      <c r="P9" s="44"/>
      <c r="Q9" s="45"/>
      <c r="R9" s="46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9" ht="15" hidden="1" customHeight="1">
      <c r="A10" s="37" t="s">
        <v>9</v>
      </c>
      <c r="B10" s="42">
        <v>0.9</v>
      </c>
      <c r="C10" s="42">
        <v>0.8</v>
      </c>
      <c r="D10" s="42">
        <v>0.8</v>
      </c>
      <c r="E10" s="42">
        <v>0.8</v>
      </c>
      <c r="F10" s="42" t="s">
        <v>10</v>
      </c>
      <c r="G10" s="42"/>
      <c r="H10" s="42"/>
      <c r="I10" s="42"/>
      <c r="J10" s="42"/>
      <c r="K10" s="42"/>
      <c r="L10" s="42"/>
      <c r="M10" s="42"/>
      <c r="N10" s="42"/>
      <c r="O10" s="43"/>
      <c r="P10" s="44"/>
      <c r="Q10" s="45"/>
      <c r="R10" s="46"/>
      <c r="S10" s="45"/>
      <c r="T10" s="45"/>
      <c r="U10" s="45"/>
      <c r="V10" s="45"/>
      <c r="W10" s="45"/>
      <c r="X10" s="50"/>
      <c r="Y10" s="50"/>
      <c r="Z10" s="50"/>
      <c r="AA10" s="50"/>
      <c r="AB10" s="52"/>
      <c r="AC10" s="53"/>
    </row>
    <row r="11" spans="1:29" ht="15" hidden="1" customHeight="1">
      <c r="A11" s="37" t="s">
        <v>11</v>
      </c>
      <c r="B11" s="42">
        <v>0.9</v>
      </c>
      <c r="C11" s="42">
        <v>0.8</v>
      </c>
      <c r="D11" s="42" t="s">
        <v>60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4"/>
      <c r="R11" s="46"/>
    </row>
    <row r="12" spans="1:29" ht="15" hidden="1" customHeight="1">
      <c r="A12" s="37" t="s">
        <v>12</v>
      </c>
      <c r="B12" s="42">
        <v>0.3</v>
      </c>
      <c r="C12" s="42">
        <v>2</v>
      </c>
      <c r="D12" s="42" t="s">
        <v>60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4"/>
      <c r="R12" s="46"/>
    </row>
    <row r="13" spans="1:29" ht="15" hidden="1" customHeight="1">
      <c r="A13" s="37" t="s">
        <v>13</v>
      </c>
      <c r="B13" s="42">
        <v>0.3</v>
      </c>
      <c r="C13" s="42">
        <v>0.3</v>
      </c>
      <c r="D13" s="42" t="s">
        <v>60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44"/>
      <c r="R13" s="46"/>
    </row>
    <row r="14" spans="1:29" ht="15" hidden="1" customHeight="1">
      <c r="A14" s="37" t="s">
        <v>14</v>
      </c>
      <c r="B14" s="42">
        <v>0.5</v>
      </c>
      <c r="C14" s="42" t="s">
        <v>15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3"/>
      <c r="P14" s="44"/>
      <c r="Q14" s="54"/>
      <c r="R14" s="46"/>
      <c r="S14" s="54"/>
      <c r="T14" s="54"/>
      <c r="U14" s="54"/>
      <c r="V14" s="54"/>
      <c r="W14" s="55"/>
      <c r="X14" s="55"/>
      <c r="Y14" s="55"/>
      <c r="AA14" s="55"/>
      <c r="AB14" s="55"/>
    </row>
    <row r="15" spans="1:29">
      <c r="A15" s="37" t="s">
        <v>16</v>
      </c>
      <c r="B15" s="42">
        <f>73.9/B35*100</f>
        <v>4.2279306596487221</v>
      </c>
      <c r="C15" s="42">
        <f>108/C35*100</f>
        <v>5.0766193475604027</v>
      </c>
      <c r="D15" s="42">
        <f>117/D35*100</f>
        <v>4.9184462754329905</v>
      </c>
      <c r="E15" s="42">
        <v>5</v>
      </c>
      <c r="F15" s="42">
        <v>4.2</v>
      </c>
      <c r="G15" s="42">
        <f>123/G35*100</f>
        <v>4.4654202214557994</v>
      </c>
      <c r="H15" s="42">
        <f>124/H35*100</f>
        <v>4.3661971830985911</v>
      </c>
      <c r="I15" s="42">
        <f>167/I35*100</f>
        <v>5.7025781116612597</v>
      </c>
      <c r="J15" s="42">
        <f>166/J35*100</f>
        <v>5.2533308016076452</v>
      </c>
      <c r="K15" s="42">
        <f>227/K35*100</f>
        <v>7.1475802134827919</v>
      </c>
      <c r="L15" s="42" t="s">
        <v>17</v>
      </c>
      <c r="M15" s="42"/>
      <c r="N15" s="42"/>
      <c r="O15" s="43"/>
      <c r="P15" s="44"/>
      <c r="Q15" s="56"/>
      <c r="R15" s="46"/>
      <c r="S15" s="56"/>
      <c r="T15" s="56"/>
      <c r="U15" s="56"/>
      <c r="V15" s="56"/>
      <c r="W15" s="56"/>
      <c r="X15" s="56"/>
      <c r="Y15" s="57"/>
      <c r="Z15" s="58"/>
      <c r="AA15" s="59"/>
    </row>
    <row r="16" spans="1:29">
      <c r="A16" s="37" t="s">
        <v>18</v>
      </c>
      <c r="B16" s="42"/>
      <c r="C16" s="42"/>
      <c r="D16" s="42"/>
      <c r="E16" s="42"/>
      <c r="F16" s="42"/>
      <c r="G16" s="42"/>
      <c r="H16" s="42">
        <f>46/H35*100</f>
        <v>1.6197183098591548</v>
      </c>
      <c r="I16" s="42">
        <f>49/I35*100</f>
        <v>1.6732115417449207</v>
      </c>
      <c r="J16" s="42" t="s">
        <v>19</v>
      </c>
      <c r="K16" s="42"/>
      <c r="L16" s="42"/>
      <c r="M16" s="42"/>
      <c r="N16" s="42"/>
      <c r="O16" s="43"/>
      <c r="P16" s="44"/>
      <c r="Q16" s="56"/>
      <c r="R16" s="46"/>
      <c r="S16" s="56"/>
      <c r="T16" s="56"/>
      <c r="U16" s="56"/>
      <c r="V16" s="56"/>
      <c r="W16" s="56"/>
      <c r="X16" s="56"/>
      <c r="Y16" s="57"/>
      <c r="Z16" s="58"/>
      <c r="AA16" s="60"/>
    </row>
    <row r="17" spans="1:23">
      <c r="A17" s="37" t="s">
        <v>20</v>
      </c>
      <c r="B17" s="42"/>
      <c r="C17" s="42"/>
      <c r="D17" s="42"/>
      <c r="E17" s="42"/>
      <c r="F17" s="42"/>
      <c r="G17" s="42"/>
      <c r="H17" s="43">
        <f>8.8/H35*100</f>
        <v>0.3098591549295775</v>
      </c>
      <c r="I17" s="43">
        <f>37.2/I35*100</f>
        <v>1.2702748847532868</v>
      </c>
      <c r="J17" s="43">
        <f>20.3/J35*100</f>
        <v>0.64242539320864589</v>
      </c>
      <c r="K17" s="43">
        <f>24.6/K35*100</f>
        <v>0.77458358260650528</v>
      </c>
      <c r="L17" s="43">
        <f>27.5/L35*100</f>
        <v>0.81327260897852949</v>
      </c>
      <c r="M17" s="42">
        <f>519.8/M35*100</f>
        <v>15.263096077049564</v>
      </c>
      <c r="N17" s="42">
        <f>564.4/N35*100</f>
        <v>16.163120364271599</v>
      </c>
      <c r="O17" s="43">
        <f>488.7/O35*100</f>
        <v>14.342734716637807</v>
      </c>
      <c r="P17" s="44">
        <f>488.7/P35*100</f>
        <v>14.342734716637807</v>
      </c>
      <c r="R17" s="46"/>
    </row>
    <row r="18" spans="1:23" s="66" customFormat="1">
      <c r="A18" s="61" t="s">
        <v>21</v>
      </c>
      <c r="B18" s="62"/>
      <c r="C18" s="62"/>
      <c r="D18" s="62"/>
      <c r="E18" s="62"/>
      <c r="F18" s="63"/>
      <c r="G18" s="63"/>
      <c r="H18" s="64"/>
      <c r="I18" s="64"/>
      <c r="J18" s="64"/>
      <c r="K18" s="64"/>
      <c r="L18" s="64"/>
      <c r="M18" s="64">
        <f>495/M35*100</f>
        <v>14.534883720930234</v>
      </c>
      <c r="N18" s="64">
        <f>522.1/N35*100</f>
        <v>14.95174546808328</v>
      </c>
      <c r="O18" s="64">
        <f>446.8/O35*100</f>
        <v>13.11302204091216</v>
      </c>
      <c r="P18" s="65">
        <f>446.8/P35*100</f>
        <v>13.11302204091216</v>
      </c>
      <c r="Q18" s="27"/>
      <c r="R18" s="64"/>
      <c r="T18" s="27"/>
      <c r="U18" s="28"/>
      <c r="V18" s="27"/>
      <c r="W18" s="27"/>
    </row>
    <row r="19" spans="1:23" s="66" customFormat="1">
      <c r="A19" s="61" t="s">
        <v>22</v>
      </c>
      <c r="B19" s="62"/>
      <c r="C19" s="62"/>
      <c r="D19" s="62"/>
      <c r="E19" s="62"/>
      <c r="F19" s="63"/>
      <c r="G19" s="63"/>
      <c r="H19" s="64">
        <v>0.3</v>
      </c>
      <c r="I19" s="64">
        <v>1.3</v>
      </c>
      <c r="J19" s="64">
        <v>0.6</v>
      </c>
      <c r="K19" s="64">
        <v>0.8</v>
      </c>
      <c r="L19" s="64">
        <v>0.8</v>
      </c>
      <c r="M19" s="64">
        <f>24.8/M35*100</f>
        <v>0.72821235611933299</v>
      </c>
      <c r="N19" s="64">
        <f>42.3/N35*100</f>
        <v>1.2113748961883215</v>
      </c>
      <c r="O19" s="64">
        <f>42.3/O35*100</f>
        <v>1.241452176209902</v>
      </c>
      <c r="P19" s="65">
        <f>41.9/P35*100</f>
        <v>1.2297126757256478</v>
      </c>
      <c r="Q19" s="27"/>
      <c r="R19" s="64"/>
      <c r="T19" s="27"/>
      <c r="V19" s="27"/>
      <c r="W19" s="27"/>
    </row>
    <row r="20" spans="1:23">
      <c r="A20" s="37" t="s">
        <v>23</v>
      </c>
      <c r="B20" s="42">
        <f>84.8/B35*100</f>
        <v>4.851536129069169</v>
      </c>
      <c r="C20" s="42">
        <f>141.6/C35*100</f>
        <v>6.6560120334680821</v>
      </c>
      <c r="D20" s="42">
        <f>212.4/D35*100</f>
        <v>8.9288717000168152</v>
      </c>
      <c r="E20" s="42">
        <v>9.6</v>
      </c>
      <c r="F20" s="42">
        <v>11.9</v>
      </c>
      <c r="G20" s="42">
        <f>408/G35*100</f>
        <v>14.812125612633873</v>
      </c>
      <c r="H20" s="42">
        <f>602/H35*100</f>
        <v>21.197183098591548</v>
      </c>
      <c r="I20" s="42">
        <f>629/I35*100</f>
        <v>21.478572648113371</v>
      </c>
      <c r="J20" s="42">
        <f>672/J35*100</f>
        <v>21.266495775182758</v>
      </c>
      <c r="K20" s="42">
        <f>584.8/K35*100</f>
        <v>18.413678012531879</v>
      </c>
      <c r="L20" s="42">
        <f>584.8/L35*100</f>
        <v>17.294611699296148</v>
      </c>
      <c r="M20" s="42" t="s">
        <v>73</v>
      </c>
      <c r="N20" s="42"/>
      <c r="O20" s="43"/>
      <c r="P20" s="44"/>
      <c r="R20" s="46"/>
    </row>
    <row r="21" spans="1:23">
      <c r="A21" s="37" t="s">
        <v>24</v>
      </c>
      <c r="B21" s="42">
        <f>58.4/B35*100</f>
        <v>3.3411522398306541</v>
      </c>
      <c r="C21" s="42">
        <f>72.5/C35*100</f>
        <v>3.407915765723418</v>
      </c>
      <c r="D21" s="42">
        <f>136.9/D35*100</f>
        <v>5.7550025222801411</v>
      </c>
      <c r="E21" s="42">
        <v>7.8</v>
      </c>
      <c r="F21" s="42">
        <v>9.6999999999999993</v>
      </c>
      <c r="G21" s="42" t="s">
        <v>25</v>
      </c>
      <c r="H21" s="42"/>
      <c r="I21" s="42"/>
      <c r="J21" s="42"/>
      <c r="K21" s="42"/>
      <c r="L21" s="42"/>
      <c r="M21" s="42"/>
      <c r="N21" s="42"/>
      <c r="O21" s="43"/>
      <c r="P21" s="44"/>
      <c r="R21" s="46"/>
    </row>
    <row r="22" spans="1:23">
      <c r="A22" s="37" t="s">
        <v>26</v>
      </c>
      <c r="B22" s="42"/>
      <c r="C22" s="42"/>
      <c r="D22" s="42"/>
      <c r="E22" s="42"/>
      <c r="F22" s="42"/>
      <c r="G22" s="42">
        <f>46/G35*100</f>
        <v>1.6699945543655836</v>
      </c>
      <c r="H22" s="42">
        <f>254/H35*100</f>
        <v>8.943661971830986</v>
      </c>
      <c r="I22" s="42">
        <f>241/I35*100</f>
        <v>8.2294690114393045</v>
      </c>
      <c r="J22" s="42">
        <f>273/J35*100</f>
        <v>8.6395139086679951</v>
      </c>
      <c r="K22" s="42">
        <f>295/K35*100</f>
        <v>9.2887055637771976</v>
      </c>
      <c r="L22" s="42">
        <f>248.4/L35*100</f>
        <v>7.3460696752824264</v>
      </c>
      <c r="M22" s="42">
        <f>252.2/M35*100</f>
        <v>7.4054498473103125</v>
      </c>
      <c r="N22" s="42">
        <f>260.2/N35*100</f>
        <v>7.4515306853002654</v>
      </c>
      <c r="O22" s="43">
        <f>256.6/O35*100</f>
        <v>7.5308895606491939</v>
      </c>
      <c r="P22" s="44">
        <v>7.1671973632757959</v>
      </c>
      <c r="R22" s="46"/>
    </row>
    <row r="23" spans="1:23">
      <c r="A23" s="37" t="s">
        <v>27</v>
      </c>
      <c r="B23" s="42">
        <f>97.8/B35*100</f>
        <v>5.5952857714972248</v>
      </c>
      <c r="C23" s="42">
        <f>131.7/C35*100</f>
        <v>6.1906552599417122</v>
      </c>
      <c r="D23" s="42">
        <f>158.7/D35*100</f>
        <v>6.6714309736001329</v>
      </c>
      <c r="E23" s="42">
        <v>7.3</v>
      </c>
      <c r="F23" s="42">
        <v>7</v>
      </c>
      <c r="G23" s="42"/>
      <c r="H23" s="42" t="s">
        <v>84</v>
      </c>
      <c r="I23" s="42"/>
      <c r="J23" s="42"/>
      <c r="K23" s="42"/>
      <c r="L23" s="42"/>
      <c r="M23" s="42"/>
      <c r="N23" s="42"/>
      <c r="O23" s="43"/>
      <c r="P23" s="44"/>
      <c r="R23" s="46"/>
    </row>
    <row r="24" spans="1:23">
      <c r="A24" s="37" t="s">
        <v>28</v>
      </c>
      <c r="B24" s="42">
        <f>84.8/B35*100</f>
        <v>4.851536129069169</v>
      </c>
      <c r="C24" s="42" t="s">
        <v>29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3"/>
      <c r="P24" s="44"/>
      <c r="R24" s="46"/>
    </row>
    <row r="25" spans="1:23">
      <c r="A25" s="37" t="s">
        <v>30</v>
      </c>
      <c r="B25" s="42">
        <f>17/B35*100</f>
        <v>0.97259568625207382</v>
      </c>
      <c r="C25" s="42">
        <f>20/C35*100</f>
        <v>0.94011469399266701</v>
      </c>
      <c r="D25" s="42" t="s">
        <v>88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44"/>
      <c r="R25" s="46"/>
      <c r="U25" s="24"/>
    </row>
    <row r="26" spans="1:23">
      <c r="A26" s="37" t="s">
        <v>31</v>
      </c>
      <c r="B26" s="42">
        <f>15.7/B35*100</f>
        <v>0.89822072200926806</v>
      </c>
      <c r="C26" s="42">
        <f>18.5/C35*100</f>
        <v>0.86960609194321692</v>
      </c>
      <c r="D26" s="42">
        <f>45.7/D35*100</f>
        <v>1.9211367075836556</v>
      </c>
      <c r="E26" s="42">
        <v>1.6</v>
      </c>
      <c r="F26" s="42">
        <v>5.3</v>
      </c>
      <c r="G26" s="42">
        <f>72/G35*100</f>
        <v>2.6139045198765656</v>
      </c>
      <c r="H26" s="42">
        <f>76.4/H35*100</f>
        <v>2.6901408450704229</v>
      </c>
      <c r="I26" s="42">
        <f>76/I35*100</f>
        <v>2.5951852484206932</v>
      </c>
      <c r="J26" s="42">
        <f>75.7/J35*100</f>
        <v>2.3956454318174627</v>
      </c>
      <c r="K26" s="42">
        <f>72/K35*100</f>
        <v>2.2670739003117228</v>
      </c>
      <c r="L26" s="42">
        <f>204.8/L35*100</f>
        <v>6.0566629206837401</v>
      </c>
      <c r="M26" s="42">
        <f>247/M35*100</f>
        <v>7.252760159736904</v>
      </c>
      <c r="N26" s="42">
        <f>298.5/N35*100</f>
        <v>8.5483547638821271</v>
      </c>
      <c r="O26" s="43">
        <f>298.5/O35*100</f>
        <v>8.7606022363748419</v>
      </c>
      <c r="P26" s="44">
        <f>298.5/P35*100</f>
        <v>8.7606022363748419</v>
      </c>
      <c r="R26" s="46"/>
    </row>
    <row r="27" spans="1:23">
      <c r="A27" s="37" t="s">
        <v>32</v>
      </c>
      <c r="B27" s="42">
        <f>22.6/B35*100</f>
        <v>1.2929801476056983</v>
      </c>
      <c r="C27" s="42">
        <f>104.2/C35*100</f>
        <v>4.8979975557017958</v>
      </c>
      <c r="D27" s="42" t="s">
        <v>33</v>
      </c>
      <c r="E27" s="42">
        <v>5.2</v>
      </c>
      <c r="F27" s="42"/>
      <c r="G27" s="42"/>
      <c r="H27" s="42"/>
      <c r="I27" s="42"/>
      <c r="J27" s="42"/>
      <c r="K27" s="42"/>
      <c r="L27" s="42"/>
      <c r="M27" s="42"/>
      <c r="N27" s="42"/>
      <c r="O27" s="43"/>
      <c r="P27" s="44"/>
      <c r="R27" s="46"/>
    </row>
    <row r="28" spans="1:23">
      <c r="A28" s="37" t="s">
        <v>34</v>
      </c>
      <c r="B28" s="42">
        <f>95.5/B35*100</f>
        <v>5.4636992962984152</v>
      </c>
      <c r="C28" s="42">
        <f>122.8/C35*100</f>
        <v>5.7723042211149762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3"/>
      <c r="P28" s="44"/>
      <c r="R28" s="46"/>
    </row>
    <row r="29" spans="1:23">
      <c r="A29" s="37" t="s">
        <v>35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>
        <f>97.7/L35*100</f>
        <v>2.8893357780800852</v>
      </c>
      <c r="M29" s="42">
        <f>61.9/M35*100</f>
        <v>1.8175945501526896</v>
      </c>
      <c r="N29" s="42">
        <f>66.5/N35*100</f>
        <v>1.9044073427074086</v>
      </c>
      <c r="O29" s="43">
        <f>73.2/O35*100</f>
        <v>2.1483285886185541</v>
      </c>
      <c r="P29" s="44">
        <f>73.2/P35*100</f>
        <v>2.1483285886185541</v>
      </c>
      <c r="R29" s="46"/>
    </row>
    <row r="30" spans="1:23">
      <c r="A30" s="37" t="s">
        <v>36</v>
      </c>
      <c r="B30" s="42">
        <f>6.6/B35*100</f>
        <v>0.37759597230962866</v>
      </c>
      <c r="C30" s="42">
        <f>18.4/C35*100</f>
        <v>0.86490551847325359</v>
      </c>
      <c r="D30" s="42">
        <v>1.8</v>
      </c>
      <c r="E30" s="42">
        <v>2.6</v>
      </c>
      <c r="F30" s="42">
        <v>2.5</v>
      </c>
      <c r="G30" s="42">
        <f>29.3/G35*100</f>
        <v>1.0637139226719914</v>
      </c>
      <c r="H30" s="42">
        <f>37.2/H35*100</f>
        <v>1.3098591549295775</v>
      </c>
      <c r="I30" s="42">
        <f>84/I35*100</f>
        <v>2.8683626429912925</v>
      </c>
      <c r="J30" s="42">
        <f>113/J35*100</f>
        <v>3.5760625336244813</v>
      </c>
      <c r="K30" s="42">
        <f>106/K35*100</f>
        <v>3.3376365754589252</v>
      </c>
      <c r="L30" s="42" t="s">
        <v>91</v>
      </c>
      <c r="M30" s="42"/>
      <c r="N30" s="42"/>
      <c r="O30" s="43"/>
      <c r="P30" s="44"/>
      <c r="R30" s="46"/>
    </row>
    <row r="31" spans="1:23">
      <c r="A31" s="37" t="s">
        <v>37</v>
      </c>
      <c r="B31" s="42"/>
      <c r="C31" s="42"/>
      <c r="D31" s="42"/>
      <c r="E31" s="42"/>
      <c r="F31" s="42"/>
      <c r="G31" s="42">
        <v>0.2</v>
      </c>
      <c r="H31" s="42">
        <f>52/H35*100</f>
        <v>1.8309859154929577</v>
      </c>
      <c r="I31" s="42"/>
      <c r="J31" s="42"/>
      <c r="K31" s="42"/>
      <c r="L31" s="42"/>
      <c r="M31" s="42"/>
      <c r="N31" s="42"/>
      <c r="O31" s="43"/>
      <c r="P31" s="44"/>
      <c r="R31" s="46"/>
    </row>
    <row r="32" spans="1:23">
      <c r="A32" s="37" t="s">
        <v>38</v>
      </c>
      <c r="B32" s="42">
        <f>74.3/B35*100</f>
        <v>4.2508152640311225</v>
      </c>
      <c r="C32" s="42">
        <f>69.8/C35*100</f>
        <v>3.2810002820344084</v>
      </c>
      <c r="D32" s="42">
        <v>4.5999999999999996</v>
      </c>
      <c r="E32" s="42">
        <v>4.0999999999999996</v>
      </c>
      <c r="F32" s="42">
        <v>2.2999999999999998</v>
      </c>
      <c r="G32" s="42" t="s">
        <v>39</v>
      </c>
      <c r="H32" s="42"/>
      <c r="I32" s="42"/>
      <c r="J32" s="42"/>
      <c r="K32" s="42"/>
      <c r="L32" s="42"/>
      <c r="M32" s="42"/>
      <c r="N32" s="42"/>
      <c r="O32" s="43"/>
      <c r="P32" s="44"/>
      <c r="R32" s="46"/>
    </row>
    <row r="33" spans="1:18">
      <c r="A33" s="37" t="s">
        <v>40</v>
      </c>
      <c r="B33" s="42">
        <f>7/B35*100</f>
        <v>0.40048057669203041</v>
      </c>
      <c r="C33" s="42">
        <f>11.5/C35*100</f>
        <v>0.54056594904578359</v>
      </c>
      <c r="D33" s="42">
        <v>0.6</v>
      </c>
      <c r="E33" s="42">
        <v>0.6</v>
      </c>
      <c r="F33" s="42">
        <v>0.6</v>
      </c>
      <c r="G33" s="42">
        <v>0.6</v>
      </c>
      <c r="H33" s="42">
        <f>21.4/H35*100</f>
        <v>0.75352112676056326</v>
      </c>
      <c r="I33" s="42">
        <f>26.1/I35*100</f>
        <v>0.89124124978658026</v>
      </c>
      <c r="J33" s="42">
        <f>32.5/J35*100</f>
        <v>1.0285135605557139</v>
      </c>
      <c r="K33" s="42">
        <f>26.5/K35*100</f>
        <v>0.83440914386473131</v>
      </c>
      <c r="L33" s="42">
        <f>34.1/L35*100</f>
        <v>1.0084580351333767</v>
      </c>
      <c r="M33" s="42">
        <f>41.9/M35*100</f>
        <v>1.2303265210241954</v>
      </c>
      <c r="N33" s="42">
        <f>41.9/N35*100</f>
        <v>1.1999198144276755</v>
      </c>
      <c r="O33" s="43">
        <f>40.1/O35*100</f>
        <v>1.1768849235465031</v>
      </c>
      <c r="P33" s="44">
        <f>40.1/P35*100</f>
        <v>1.1768849235465031</v>
      </c>
      <c r="R33" s="46"/>
    </row>
    <row r="34" spans="1:18">
      <c r="A34" s="37" t="s">
        <v>97</v>
      </c>
      <c r="B34" s="42">
        <f>32.8/B35*100</f>
        <v>1.8765375593569424</v>
      </c>
      <c r="C34" s="42">
        <f>115.8/C35*100</f>
        <v>5.4432640782175419</v>
      </c>
      <c r="D34" s="42">
        <f>135.3/D35*100</f>
        <v>5.6877417185135366</v>
      </c>
      <c r="E34" s="42">
        <f>135.3/E35*100</f>
        <v>5.3440240145351137</v>
      </c>
      <c r="F34" s="42">
        <f>377.3/F35*100</f>
        <v>13.324622121768611</v>
      </c>
      <c r="G34" s="42">
        <f>268.7/G35*100</f>
        <v>9.7549464512615724</v>
      </c>
      <c r="H34" s="42">
        <f>139.7/H35*100</f>
        <v>4.919014084507042</v>
      </c>
      <c r="I34" s="42">
        <f>160.8/I35*100</f>
        <v>5.4908656308690462</v>
      </c>
      <c r="J34" s="42">
        <f>12.3/J35*100</f>
        <v>0.38925282445647014</v>
      </c>
      <c r="K34" s="42">
        <f>21.9/K35*100</f>
        <v>0.68956831134481555</v>
      </c>
      <c r="L34" s="42">
        <f>83.2/L35*100</f>
        <v>2.4605193115277695</v>
      </c>
      <c r="M34" s="42">
        <f>90.6/M35*100</f>
        <v>2.6603241719520789</v>
      </c>
      <c r="N34" s="42">
        <f>85/N35*100</f>
        <v>2.434204874137289</v>
      </c>
      <c r="O34" s="43">
        <f>248.1/O35*100</f>
        <v>7.2814251753587884</v>
      </c>
      <c r="P34" s="44">
        <f>243.7/P35*100</f>
        <v>7.1522906700319897</v>
      </c>
    </row>
    <row r="35" spans="1:18">
      <c r="A35" s="36" t="s">
        <v>41</v>
      </c>
      <c r="B35" s="42">
        <v>1747.9</v>
      </c>
      <c r="C35" s="42">
        <v>2127.4</v>
      </c>
      <c r="D35" s="42">
        <v>2378.8000000000002</v>
      </c>
      <c r="E35" s="42">
        <v>2531.8000000000002</v>
      </c>
      <c r="F35" s="42">
        <v>2831.6</v>
      </c>
      <c r="G35" s="42">
        <v>2754.5</v>
      </c>
      <c r="H35" s="42">
        <v>2840</v>
      </c>
      <c r="I35" s="42">
        <v>2928.5</v>
      </c>
      <c r="J35" s="42">
        <v>3159.9</v>
      </c>
      <c r="K35" s="42">
        <v>3175.9</v>
      </c>
      <c r="L35" s="42">
        <v>3381.4</v>
      </c>
      <c r="M35" s="42">
        <v>3405.6</v>
      </c>
      <c r="N35" s="42">
        <v>3491.9</v>
      </c>
      <c r="O35" s="43">
        <v>3407.3</v>
      </c>
      <c r="P35" s="65">
        <v>3407.3</v>
      </c>
      <c r="Q35" s="52"/>
    </row>
    <row r="36" spans="1:18" hidden="1">
      <c r="A36" s="37" t="s">
        <v>41</v>
      </c>
      <c r="B36" s="42">
        <v>41</v>
      </c>
      <c r="C36" s="42">
        <v>34</v>
      </c>
      <c r="D36" s="42">
        <v>27</v>
      </c>
      <c r="E36" s="42">
        <v>27</v>
      </c>
      <c r="F36" s="42">
        <v>24</v>
      </c>
      <c r="G36" s="42">
        <v>21</v>
      </c>
      <c r="H36" s="42">
        <v>20</v>
      </c>
      <c r="I36" s="42"/>
      <c r="J36" s="42">
        <v>16</v>
      </c>
      <c r="K36" s="42">
        <v>16</v>
      </c>
      <c r="L36" s="42">
        <v>15</v>
      </c>
      <c r="M36" s="42">
        <v>13</v>
      </c>
      <c r="N36" s="42"/>
      <c r="O36" s="43"/>
      <c r="P36" s="44">
        <v>3580.2</v>
      </c>
    </row>
    <row r="37" spans="1:18">
      <c r="A37" s="37" t="s">
        <v>100</v>
      </c>
      <c r="B37" s="42">
        <f>SUM(B3+B7+B20+B24)</f>
        <v>66.508381486355049</v>
      </c>
      <c r="C37" s="42">
        <f>SUM(C3+C7+C20+C23)</f>
        <v>63.673968224123335</v>
      </c>
      <c r="D37" s="42">
        <f>SUM(D3+D7+D20+D23)</f>
        <v>65.612914074323186</v>
      </c>
      <c r="E37" s="42">
        <f>SUM(E3+E7+E20+E21)</f>
        <v>63.5</v>
      </c>
      <c r="F37" s="42">
        <f>SUM(F3+F7+F20+F21)</f>
        <v>61</v>
      </c>
      <c r="G37" s="42">
        <f>SUM(G3+G20+16.3+12.4)</f>
        <v>77.275058994372856</v>
      </c>
      <c r="H37" s="42">
        <f>SUM(H3+H20+H22+H7)</f>
        <v>81.461267605633793</v>
      </c>
      <c r="I37" s="42">
        <f>SUM(I3+I6+I20+I22)</f>
        <v>83.885948437766785</v>
      </c>
      <c r="J37" s="42">
        <f>SUM(J3+J6+J20+J22)</f>
        <v>84.942561473464337</v>
      </c>
      <c r="K37" s="42">
        <f>SUM(K3+K6+K20+K22)</f>
        <v>84.668912749141967</v>
      </c>
      <c r="L37" s="31">
        <f>SUM(L3+L5+L20+L22)</f>
        <v>85.958478736617963</v>
      </c>
      <c r="M37" s="42">
        <f>SUM(M3+M5+M17+M22)</f>
        <v>87.038994597134121</v>
      </c>
      <c r="N37" s="42">
        <f>SUM(N3+N4+N17+N26)</f>
        <v>87.009937283427362</v>
      </c>
      <c r="O37" s="43">
        <v>82.9</v>
      </c>
      <c r="P37" s="44">
        <f>SUM(P3+P4+P17+P26)</f>
        <v>87.20981422240483</v>
      </c>
    </row>
    <row r="38" spans="1:18">
      <c r="A38" s="37" t="s">
        <v>42</v>
      </c>
      <c r="B38" s="42">
        <f>SUMSQ(B3,B7,B8,B9,B10,B11,B12,B13,B14,B15,B20,B21,B24,B25,B26,B27,B30,B32,B33,B23,B28)</f>
        <v>2586.6045899044757</v>
      </c>
      <c r="C38" s="42">
        <f>SUMSQ(C3,C7,C8,C9,C10,C11,C12,C13,C15,C20,C21,C23,C25,C26,C27,C28,C30,C32,C33,0.5)</f>
        <v>1936.6637610275993</v>
      </c>
      <c r="D38" s="42">
        <f>SUMSQ(D3,D7,D8,D9,D10,D15,D20,D21,D23,D26,D30,D32,D33,5.2)</f>
        <v>2146.6801158490148</v>
      </c>
      <c r="E38" s="42">
        <f>SUMSQ(E3,E7,E8,E9,E10,E15,E20,E21,E23,E26,E27,E30,E32,E33)</f>
        <v>1843.56</v>
      </c>
      <c r="F38" s="42">
        <f>SUMSQ(F3,F7,F8,F9,F15,F20,F21,F23,F26,F30,F32,F33)</f>
        <v>1416.6599999999996</v>
      </c>
      <c r="G38" s="42">
        <f>SUMSQ(G3,G15,G20,G22,G26,G30,G31,G33,16.3,12.4)</f>
        <v>1809.877579418303</v>
      </c>
      <c r="H38" s="42">
        <f>SUMSQ(H3,H6,H15,H16,H20,H22,H26,H30,H31,H33,H7,H17)</f>
        <v>2014.2242858559812</v>
      </c>
      <c r="I38" s="42">
        <f>SUMSQ(I33,I30,I26,I22,I20,I16,I17,I15,I6,I3)</f>
        <v>2177.3873237258531</v>
      </c>
      <c r="J38" s="42">
        <f>SUMSQ(J3,J6,J15,J20,J17,J22,J26,J30,J33,1.8)</f>
        <v>2161.2127024082865</v>
      </c>
      <c r="K38" s="42">
        <f>SUMSQ(K3,K15,K20,K22,K26,K30,K33,K6,K17)</f>
        <v>2149.392659675555</v>
      </c>
      <c r="L38" s="31">
        <f>SUMSQ(L3,L5,L17,L20,L22,L26,L29,L33)</f>
        <v>2354.448232485664</v>
      </c>
      <c r="M38" s="42">
        <f>SUMSQ(M3,M5,M17,M22,M26,M29,M33)</f>
        <v>2462.5354347347807</v>
      </c>
      <c r="N38" s="42">
        <f>SUMSQ(N3,N4,N17,N22,N26,N29,N33)</f>
        <v>2438.8807857619877</v>
      </c>
      <c r="O38" s="43">
        <v>2287.883934544051</v>
      </c>
      <c r="P38" s="44">
        <f>SUMSQ(P3,P4,P17,P22,P26,P29,P33)</f>
        <v>2526.7847072636177</v>
      </c>
    </row>
    <row r="39" spans="1:18" s="70" customFormat="1">
      <c r="A39" s="67" t="s">
        <v>0</v>
      </c>
      <c r="B39" s="68"/>
      <c r="C39" s="68"/>
      <c r="D39" s="68"/>
      <c r="E39" s="68"/>
      <c r="F39" s="68"/>
      <c r="G39" s="68"/>
      <c r="H39" s="68">
        <f>SUM(H3+H7+H20+H22)</f>
        <v>81.461267605633807</v>
      </c>
      <c r="I39" s="68">
        <f t="shared" ref="I39:K40" si="0">I37</f>
        <v>83.885948437766785</v>
      </c>
      <c r="J39" s="68">
        <f t="shared" si="0"/>
        <v>84.942561473464337</v>
      </c>
      <c r="K39" s="68">
        <f t="shared" si="0"/>
        <v>84.668912749141967</v>
      </c>
      <c r="L39" s="68">
        <f>SUM(L3+L5+L20+L22)</f>
        <v>85.958478736617963</v>
      </c>
      <c r="M39" s="68">
        <f>SUM(M3+M5+M18+M22)</f>
        <v>86.310782241014792</v>
      </c>
      <c r="N39" s="68">
        <f>SUM(N3+N4+N18+N26)</f>
        <v>85.798562387239031</v>
      </c>
      <c r="O39" s="69">
        <f>SUM(O3+O4+O18+O26)</f>
        <v>85.850967041352376</v>
      </c>
      <c r="P39" s="44">
        <f>SUM(P3+P4+P18+P26)</f>
        <v>85.98010154667918</v>
      </c>
    </row>
    <row r="40" spans="1:18" s="70" customFormat="1">
      <c r="A40" s="67" t="s">
        <v>1</v>
      </c>
      <c r="B40" s="71"/>
      <c r="C40" s="71"/>
      <c r="D40" s="71"/>
      <c r="E40" s="71"/>
      <c r="F40" s="71"/>
      <c r="G40" s="71"/>
      <c r="H40" s="72">
        <f>H38</f>
        <v>2014.2242858559812</v>
      </c>
      <c r="I40" s="72">
        <f t="shared" si="0"/>
        <v>2177.3873237258531</v>
      </c>
      <c r="J40" s="72">
        <f t="shared" si="0"/>
        <v>2161.2127024082865</v>
      </c>
      <c r="K40" s="72">
        <f t="shared" si="0"/>
        <v>2149.392659675555</v>
      </c>
      <c r="L40" s="72">
        <f>SUMSQ(L3,L5,L20,L22,L26,L29,L33)</f>
        <v>2353.7868201491492</v>
      </c>
      <c r="M40" s="72">
        <f>SUMSQ(M3,M5,M18,M19,M22,M26,M29,M33)</f>
        <v>2441.3664708941023</v>
      </c>
      <c r="N40" s="72">
        <f>SUMSQ(N3,N4,N18,N19,N22,N26,N29,N33)</f>
        <v>2402.6564475335203</v>
      </c>
      <c r="O40" s="69">
        <f>SUMSQ(O3,O4,O18,O19,O22,O26,O29,O33)</f>
        <v>2493.7463614941021</v>
      </c>
      <c r="P40" s="44">
        <f>SUMSQ(P3,P4,P18,P19,P22,P26,P29,P33)</f>
        <v>2494.5342084220588</v>
      </c>
    </row>
    <row r="41" spans="1:18">
      <c r="A41" s="73"/>
      <c r="B41" s="37"/>
      <c r="C41" s="33"/>
      <c r="D41" s="33"/>
      <c r="E41" s="33"/>
      <c r="F41" s="33"/>
      <c r="G41" s="33"/>
      <c r="H41" s="33"/>
      <c r="I41" s="33"/>
      <c r="J41" s="33"/>
      <c r="K41" s="33"/>
      <c r="L41" s="37"/>
      <c r="M41" s="37"/>
      <c r="N41" s="37"/>
      <c r="O41" s="74"/>
      <c r="P41" s="75"/>
    </row>
    <row r="42" spans="1:18">
      <c r="A42" s="4" t="s">
        <v>2</v>
      </c>
      <c r="B42" s="37"/>
      <c r="C42" s="33"/>
      <c r="D42" s="33"/>
      <c r="E42" s="33"/>
      <c r="F42" s="33"/>
      <c r="G42" s="33"/>
      <c r="H42" s="33"/>
      <c r="I42" s="33"/>
      <c r="J42" s="33"/>
      <c r="K42" s="33"/>
      <c r="L42" s="37"/>
      <c r="M42" s="37"/>
      <c r="N42" s="37"/>
      <c r="O42" s="74"/>
      <c r="P42" s="75"/>
    </row>
  </sheetData>
  <sheetCalcPr fullCalcOnLoad="1"/>
  <mergeCells count="9">
    <mergeCell ref="X15:X16"/>
    <mergeCell ref="Y15:Y16"/>
    <mergeCell ref="Z15:Z16"/>
    <mergeCell ref="Q15:Q16"/>
    <mergeCell ref="S15:S16"/>
    <mergeCell ref="T15:T16"/>
    <mergeCell ref="U15:U16"/>
    <mergeCell ref="V15:V16"/>
    <mergeCell ref="W15:W16"/>
  </mergeCells>
  <phoneticPr fontId="4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Broadcast TV ($)</vt:lpstr>
      <vt:lpstr>Broadcast TV (mrkt share)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2013-10-22T01:12:47Z</dcterms:created>
  <dcterms:modified xsi:type="dcterms:W3CDTF">2013-10-22T01:14:00Z</dcterms:modified>
</cp:coreProperties>
</file>